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ergon\"/>
    </mc:Choice>
  </mc:AlternateContent>
  <xr:revisionPtr revIDLastSave="0" documentId="8_{3139BDE5-1126-4776-8111-991F736E81E8}" xr6:coauthVersionLast="47" xr6:coauthVersionMax="47" xr10:uidLastSave="{00000000-0000-0000-0000-000000000000}"/>
  <bookViews>
    <workbookView xWindow="-120" yWindow="-120" windowWidth="29040" windowHeight="15720" xr2:uid="{BCB9CFD6-AB86-4867-89ED-D82BE18B46C4}"/>
  </bookViews>
  <sheets>
    <sheet name="Ergon Calculator" sheetId="6" r:id="rId1"/>
    <sheet name="Bill Check" sheetId="16" r:id="rId2"/>
    <sheet name="Usage" sheetId="18" r:id="rId3"/>
    <sheet name="Costs" sheetId="17" r:id="rId4"/>
    <sheet name="Yurika S1325" sheetId="15" r:id="rId5"/>
    <sheet name="Sheet1" sheetId="7" state="hidden" r:id="rId6"/>
  </sheets>
  <definedNames>
    <definedName name="_xlnm.Print_Area" localSheetId="0">'Ergon Calculator'!$A$2:$O$36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6" l="1"/>
  <c r="D4" i="6" s="1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R31" i="18"/>
  <c r="R32" i="18"/>
  <c r="R33" i="18"/>
  <c r="R34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F12" i="18"/>
  <c r="N6" i="16"/>
  <c r="N8" i="16"/>
  <c r="N16" i="16"/>
  <c r="N23" i="16"/>
  <c r="N25" i="16"/>
  <c r="L6" i="16"/>
  <c r="L14" i="16"/>
  <c r="L23" i="16"/>
  <c r="J8" i="16"/>
  <c r="J10" i="16"/>
  <c r="J12" i="16"/>
  <c r="J16" i="16"/>
  <c r="J21" i="16"/>
  <c r="R6" i="18"/>
  <c r="R7" i="18"/>
  <c r="R8" i="18"/>
  <c r="R9" i="18"/>
  <c r="R10" i="18"/>
  <c r="R11" i="18"/>
  <c r="O6" i="18"/>
  <c r="O7" i="18"/>
  <c r="O8" i="18"/>
  <c r="O9" i="18"/>
  <c r="O10" i="18"/>
  <c r="O11" i="18"/>
  <c r="L6" i="18"/>
  <c r="L7" i="18"/>
  <c r="L8" i="18"/>
  <c r="L9" i="18"/>
  <c r="L10" i="18"/>
  <c r="L11" i="18"/>
  <c r="I6" i="18"/>
  <c r="I7" i="18"/>
  <c r="I8" i="18"/>
  <c r="I9" i="18"/>
  <c r="I10" i="18"/>
  <c r="I11" i="18"/>
  <c r="F6" i="18"/>
  <c r="F7" i="18"/>
  <c r="F8" i="18"/>
  <c r="F10" i="18"/>
  <c r="F11" i="18"/>
  <c r="R5" i="18"/>
  <c r="S6" i="18" s="1"/>
  <c r="S7" i="18" s="1"/>
  <c r="S8" i="18" s="1"/>
  <c r="S9" i="18" s="1"/>
  <c r="S10" i="18" s="1"/>
  <c r="S11" i="18" s="1"/>
  <c r="S12" i="18" s="1"/>
  <c r="O5" i="18"/>
  <c r="P6" i="18"/>
  <c r="L5" i="18"/>
  <c r="M6" i="18" s="1"/>
  <c r="M7" i="18" s="1"/>
  <c r="M8" i="18" s="1"/>
  <c r="I5" i="18"/>
  <c r="J6" i="18" s="1"/>
  <c r="J7" i="18" s="1"/>
  <c r="F5" i="18"/>
  <c r="G6" i="18" s="1"/>
  <c r="G7" i="18" s="1"/>
  <c r="V29" i="16"/>
  <c r="U29" i="16"/>
  <c r="T29" i="16"/>
  <c r="G29" i="16"/>
  <c r="F29" i="16"/>
  <c r="E29" i="16"/>
  <c r="H29" i="16" s="1"/>
  <c r="C29" i="16"/>
  <c r="J29" i="16" s="1"/>
  <c r="M28" i="16"/>
  <c r="K28" i="16"/>
  <c r="I28" i="16"/>
  <c r="V27" i="16"/>
  <c r="U27" i="16"/>
  <c r="T27" i="16"/>
  <c r="G27" i="16"/>
  <c r="F27" i="16"/>
  <c r="E27" i="16"/>
  <c r="H27" i="16" s="1"/>
  <c r="O28" i="16" s="1"/>
  <c r="P28" i="16" s="1"/>
  <c r="R28" i="16" s="1"/>
  <c r="C27" i="16"/>
  <c r="J27" i="16" s="1"/>
  <c r="M26" i="16"/>
  <c r="K26" i="16"/>
  <c r="I26" i="16"/>
  <c r="V25" i="16"/>
  <c r="U25" i="16"/>
  <c r="T25" i="16"/>
  <c r="G25" i="16"/>
  <c r="F25" i="16"/>
  <c r="E25" i="16"/>
  <c r="C25" i="16"/>
  <c r="J25" i="16" s="1"/>
  <c r="M24" i="16"/>
  <c r="K24" i="16"/>
  <c r="I24" i="16"/>
  <c r="V23" i="16"/>
  <c r="U23" i="16"/>
  <c r="T23" i="16"/>
  <c r="G23" i="16"/>
  <c r="F23" i="16"/>
  <c r="E23" i="16"/>
  <c r="H23" i="16" s="1"/>
  <c r="O24" i="16" s="1"/>
  <c r="P24" i="16" s="1"/>
  <c r="R24" i="16" s="1"/>
  <c r="C23" i="16"/>
  <c r="J23" i="16" s="1"/>
  <c r="M22" i="16"/>
  <c r="K22" i="16"/>
  <c r="I22" i="16"/>
  <c r="V21" i="16"/>
  <c r="U21" i="16"/>
  <c r="T21" i="16"/>
  <c r="G21" i="16"/>
  <c r="H21" i="16" s="1"/>
  <c r="O22" i="16" s="1"/>
  <c r="F21" i="16"/>
  <c r="E21" i="16"/>
  <c r="C21" i="16"/>
  <c r="L21" i="16" s="1"/>
  <c r="M19" i="16"/>
  <c r="K19" i="16"/>
  <c r="I19" i="16"/>
  <c r="P19" i="16" s="1"/>
  <c r="R19" i="16" s="1"/>
  <c r="V18" i="16"/>
  <c r="U18" i="16"/>
  <c r="T18" i="16"/>
  <c r="F18" i="16"/>
  <c r="E18" i="16"/>
  <c r="O19" i="16" s="1"/>
  <c r="C18" i="16"/>
  <c r="J18" i="16" s="1"/>
  <c r="M17" i="16"/>
  <c r="K17" i="16"/>
  <c r="I17" i="16"/>
  <c r="V16" i="16"/>
  <c r="U16" i="16"/>
  <c r="T16" i="16"/>
  <c r="F16" i="16"/>
  <c r="E16" i="16"/>
  <c r="H16" i="16" s="1"/>
  <c r="C16" i="16"/>
  <c r="L16" i="16" s="1"/>
  <c r="M15" i="16"/>
  <c r="K15" i="16"/>
  <c r="I15" i="16"/>
  <c r="V14" i="16"/>
  <c r="U14" i="16"/>
  <c r="T14" i="16"/>
  <c r="F14" i="16"/>
  <c r="H14" i="16" s="1"/>
  <c r="E14" i="16"/>
  <c r="C14" i="16"/>
  <c r="J14" i="16" s="1"/>
  <c r="M13" i="16"/>
  <c r="K13" i="16"/>
  <c r="P13" i="16" s="1"/>
  <c r="R13" i="16" s="1"/>
  <c r="I13" i="16"/>
  <c r="V12" i="16"/>
  <c r="U12" i="16"/>
  <c r="T12" i="16"/>
  <c r="T30" i="16" s="1"/>
  <c r="F12" i="16"/>
  <c r="E12" i="16"/>
  <c r="O13" i="16" s="1"/>
  <c r="C12" i="16"/>
  <c r="L12" i="16" s="1"/>
  <c r="M11" i="16"/>
  <c r="K11" i="16"/>
  <c r="I11" i="16"/>
  <c r="V10" i="16"/>
  <c r="U10" i="16"/>
  <c r="U30" i="16" s="1"/>
  <c r="T10" i="16"/>
  <c r="F10" i="16"/>
  <c r="E10" i="16"/>
  <c r="C10" i="16"/>
  <c r="L10" i="16" s="1"/>
  <c r="M9" i="16"/>
  <c r="K9" i="16"/>
  <c r="I9" i="16"/>
  <c r="V8" i="16"/>
  <c r="U8" i="16"/>
  <c r="T8" i="16"/>
  <c r="F8" i="16"/>
  <c r="E8" i="16"/>
  <c r="H8" i="16" s="1"/>
  <c r="C8" i="16"/>
  <c r="L8" i="16" s="1"/>
  <c r="M7" i="16"/>
  <c r="K7" i="16"/>
  <c r="I7" i="16"/>
  <c r="P7" i="16" s="1"/>
  <c r="R7" i="16" s="1"/>
  <c r="V6" i="16"/>
  <c r="U6" i="16"/>
  <c r="T6" i="16"/>
  <c r="F6" i="16"/>
  <c r="E6" i="16"/>
  <c r="C6" i="16"/>
  <c r="J6" i="16" s="1"/>
  <c r="M5" i="16"/>
  <c r="K5" i="16"/>
  <c r="I5" i="16"/>
  <c r="V4" i="16"/>
  <c r="U4" i="16"/>
  <c r="T4" i="16"/>
  <c r="F4" i="16"/>
  <c r="E4" i="16"/>
  <c r="O5" i="16" s="1"/>
  <c r="C4" i="16"/>
  <c r="N4" i="16" s="1"/>
  <c r="D8" i="6"/>
  <c r="G13" i="6"/>
  <c r="G12" i="6"/>
  <c r="H12" i="6" s="1"/>
  <c r="G11" i="6"/>
  <c r="H11" i="6" s="1"/>
  <c r="D6" i="6"/>
  <c r="D7" i="6"/>
  <c r="E13" i="7"/>
  <c r="F13" i="7"/>
  <c r="E12" i="7"/>
  <c r="F12" i="7"/>
  <c r="E11" i="7"/>
  <c r="F11" i="7"/>
  <c r="E10" i="7"/>
  <c r="F10" i="7"/>
  <c r="E9" i="7"/>
  <c r="F9" i="7"/>
  <c r="E8" i="7"/>
  <c r="F8" i="7"/>
  <c r="E7" i="7"/>
  <c r="F7" i="7"/>
  <c r="E6" i="7"/>
  <c r="F6" i="7"/>
  <c r="E5" i="7"/>
  <c r="F5" i="7"/>
  <c r="E4" i="7"/>
  <c r="F4" i="7"/>
  <c r="E3" i="7"/>
  <c r="F3" i="7"/>
  <c r="H18" i="16"/>
  <c r="H6" i="16"/>
  <c r="O11" i="16"/>
  <c r="P11" i="16"/>
  <c r="R11" i="16"/>
  <c r="H10" i="16"/>
  <c r="O7" i="16"/>
  <c r="V30" i="16"/>
  <c r="H25" i="16"/>
  <c r="O26" i="16" s="1"/>
  <c r="H4" i="16"/>
  <c r="O17" i="16"/>
  <c r="P17" i="16"/>
  <c r="R17" i="16" s="1"/>
  <c r="P22" i="16" l="1"/>
  <c r="R22" i="16" s="1"/>
  <c r="P26" i="16"/>
  <c r="R26" i="16" s="1"/>
  <c r="P5" i="16"/>
  <c r="R5" i="16" s="1"/>
  <c r="S5" i="16" s="1"/>
  <c r="D6" i="16" s="1"/>
  <c r="D8" i="16" s="1"/>
  <c r="O9" i="16"/>
  <c r="P9" i="16" s="1"/>
  <c r="R9" i="16" s="1"/>
  <c r="N29" i="16"/>
  <c r="H12" i="16"/>
  <c r="N27" i="16"/>
  <c r="L29" i="16"/>
  <c r="L27" i="16"/>
  <c r="N21" i="16"/>
  <c r="J4" i="16"/>
  <c r="L25" i="16"/>
  <c r="N18" i="16"/>
  <c r="L4" i="16"/>
  <c r="O15" i="16"/>
  <c r="P15" i="16" s="1"/>
  <c r="R15" i="16" s="1"/>
  <c r="L18" i="16"/>
  <c r="N12" i="16"/>
  <c r="N14" i="16"/>
  <c r="N10" i="16"/>
  <c r="P7" i="18"/>
  <c r="P8" i="18" s="1"/>
  <c r="P9" i="18" s="1"/>
  <c r="S13" i="18"/>
  <c r="S14" i="18" s="1"/>
  <c r="S15" i="18" s="1"/>
  <c r="S16" i="18" s="1"/>
  <c r="S17" i="18" s="1"/>
  <c r="S18" i="18" s="1"/>
  <c r="S19" i="18" s="1"/>
  <c r="S20" i="18" s="1"/>
  <c r="S21" i="18" s="1"/>
  <c r="S22" i="18" s="1"/>
  <c r="S23" i="18" s="1"/>
  <c r="S24" i="18" s="1"/>
  <c r="S25" i="18" s="1"/>
  <c r="S26" i="18" s="1"/>
  <c r="S27" i="18" s="1"/>
  <c r="S28" i="18" s="1"/>
  <c r="S29" i="18" s="1"/>
  <c r="S30" i="18" s="1"/>
  <c r="S31" i="18" s="1"/>
  <c r="S32" i="18" s="1"/>
  <c r="S33" i="18" s="1"/>
  <c r="S34" i="18" s="1"/>
  <c r="I11" i="6"/>
  <c r="H13" i="6"/>
  <c r="D23" i="6" s="1"/>
  <c r="J8" i="18"/>
  <c r="J9" i="18" s="1"/>
  <c r="J10" i="18" s="1"/>
  <c r="J11" i="18" s="1"/>
  <c r="J12" i="18" s="1"/>
  <c r="J13" i="18" s="1"/>
  <c r="J14" i="18" s="1"/>
  <c r="J15" i="18" s="1"/>
  <c r="J16" i="18" s="1"/>
  <c r="J17" i="18" s="1"/>
  <c r="J18" i="18" s="1"/>
  <c r="J19" i="18" s="1"/>
  <c r="J20" i="18" s="1"/>
  <c r="J21" i="18" s="1"/>
  <c r="J22" i="18" s="1"/>
  <c r="J23" i="18" s="1"/>
  <c r="J24" i="18" s="1"/>
  <c r="J25" i="18" s="1"/>
  <c r="J26" i="18" s="1"/>
  <c r="J27" i="18" s="1"/>
  <c r="J28" i="18" s="1"/>
  <c r="J29" i="18" s="1"/>
  <c r="J30" i="18" s="1"/>
  <c r="J31" i="18" s="1"/>
  <c r="J32" i="18" s="1"/>
  <c r="J33" i="18" s="1"/>
  <c r="J34" i="18" s="1"/>
  <c r="M9" i="18"/>
  <c r="M10" i="18" s="1"/>
  <c r="M11" i="18" s="1"/>
  <c r="M12" i="18" s="1"/>
  <c r="M13" i="18" s="1"/>
  <c r="M14" i="18" s="1"/>
  <c r="M15" i="18" s="1"/>
  <c r="M16" i="18" s="1"/>
  <c r="M17" i="18" s="1"/>
  <c r="M18" i="18" s="1"/>
  <c r="M19" i="18" s="1"/>
  <c r="M20" i="18" s="1"/>
  <c r="M21" i="18" s="1"/>
  <c r="M22" i="18" s="1"/>
  <c r="M23" i="18" s="1"/>
  <c r="M24" i="18" s="1"/>
  <c r="M25" i="18" s="1"/>
  <c r="M26" i="18" s="1"/>
  <c r="M27" i="18" s="1"/>
  <c r="M28" i="18" s="1"/>
  <c r="M29" i="18" s="1"/>
  <c r="M30" i="18" s="1"/>
  <c r="M31" i="18" s="1"/>
  <c r="M32" i="18" s="1"/>
  <c r="M33" i="18" s="1"/>
  <c r="M34" i="18" s="1"/>
  <c r="G8" i="18"/>
  <c r="G9" i="18" s="1"/>
  <c r="G10" i="18" s="1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2" i="18" s="1"/>
  <c r="G33" i="18" s="1"/>
  <c r="G34" i="18" s="1"/>
  <c r="P10" i="18"/>
  <c r="P11" i="18" s="1"/>
  <c r="P12" i="18" s="1"/>
  <c r="P13" i="18" s="1"/>
  <c r="P14" i="18" s="1"/>
  <c r="P15" i="18" s="1"/>
  <c r="P16" i="18" s="1"/>
  <c r="P17" i="18" s="1"/>
  <c r="P18" i="18" s="1"/>
  <c r="P19" i="18" s="1"/>
  <c r="P20" i="18" s="1"/>
  <c r="P21" i="18" s="1"/>
  <c r="P22" i="18" s="1"/>
  <c r="P23" i="18" s="1"/>
  <c r="P24" i="18" s="1"/>
  <c r="P25" i="18" s="1"/>
  <c r="P26" i="18" s="1"/>
  <c r="P27" i="18" s="1"/>
  <c r="P28" i="18" s="1"/>
  <c r="P29" i="18" s="1"/>
  <c r="P30" i="18" s="1"/>
  <c r="P31" i="18" s="1"/>
  <c r="P32" i="18" s="1"/>
  <c r="P33" i="18" s="1"/>
  <c r="P34" i="18" s="1"/>
  <c r="D9" i="6"/>
  <c r="H14" i="6" s="1"/>
  <c r="H15" i="6"/>
  <c r="D25" i="6" s="1"/>
  <c r="E5" i="6"/>
  <c r="I12" i="6"/>
  <c r="S7" i="16" l="1"/>
  <c r="D10" i="16"/>
  <c r="I13" i="6"/>
  <c r="J13" i="6" s="1"/>
  <c r="D24" i="6"/>
  <c r="D26" i="6" s="1"/>
  <c r="H16" i="6"/>
  <c r="D12" i="16" l="1"/>
  <c r="S9" i="16"/>
  <c r="J11" i="6"/>
  <c r="B27" i="6" s="1"/>
  <c r="D22" i="6"/>
  <c r="D14" i="16" l="1"/>
  <c r="S11" i="16"/>
  <c r="D16" i="16" l="1"/>
  <c r="S13" i="16"/>
  <c r="S15" i="16" l="1"/>
  <c r="D18" i="16"/>
  <c r="D21" i="16" l="1"/>
  <c r="S17" i="16"/>
  <c r="D23" i="16" l="1"/>
  <c r="S19" i="16"/>
  <c r="S22" i="16" l="1"/>
  <c r="D25" i="16"/>
  <c r="S24" i="16" l="1"/>
  <c r="D27" i="16"/>
  <c r="S26" i="16" l="1"/>
  <c r="D29" i="16"/>
  <c r="S28" i="16" s="1"/>
</calcChain>
</file>

<file path=xl/sharedStrings.xml><?xml version="1.0" encoding="utf-8"?>
<sst xmlns="http://schemas.openxmlformats.org/spreadsheetml/2006/main" count="153" uniqueCount="136">
  <si>
    <t>Daily Service Fee</t>
  </si>
  <si>
    <t>Previous  Reading</t>
  </si>
  <si>
    <t>Current Reading</t>
  </si>
  <si>
    <t>Date when Ergon LAST Read your meter (on your last bill)</t>
  </si>
  <si>
    <t>Per Day</t>
  </si>
  <si>
    <t>Solar Exported to Grid</t>
  </si>
  <si>
    <t>Tariff 11</t>
  </si>
  <si>
    <t>Solar</t>
  </si>
  <si>
    <t>Days since last meter was read from your last bill</t>
  </si>
  <si>
    <t>Days</t>
  </si>
  <si>
    <t>Total Fees Per Day</t>
  </si>
  <si>
    <t>Date of reading</t>
  </si>
  <si>
    <t>Tariff 33</t>
  </si>
  <si>
    <t>Total</t>
  </si>
  <si>
    <t>Per Month</t>
  </si>
  <si>
    <t>What was the install date of inverter</t>
  </si>
  <si>
    <t>Ergon adjustments +/- inc GST if they credit you</t>
  </si>
  <si>
    <t>Power Usage Per Day</t>
  </si>
  <si>
    <t>Tariff 11 Cost per KWH</t>
  </si>
  <si>
    <t>Tariff 33 Cost per KWH</t>
  </si>
  <si>
    <t>Solar Feed In Tariff per KWH</t>
  </si>
  <si>
    <t>Tariff 11 supply charge per day</t>
  </si>
  <si>
    <t>Tariff 33 supply charge per day</t>
  </si>
  <si>
    <t>Metering Fee</t>
  </si>
  <si>
    <t>Total Power Used Per Month</t>
  </si>
  <si>
    <t>Total Fee's Per Month</t>
  </si>
  <si>
    <t>Total Fee's and Usage Per Month</t>
  </si>
  <si>
    <t>Daily Generation or usage</t>
  </si>
  <si>
    <t>Your NEXT bill will be</t>
  </si>
  <si>
    <t>Total fee's this month</t>
  </si>
  <si>
    <t>Total Power used</t>
  </si>
  <si>
    <t>State Govt Relief ($75?)</t>
  </si>
  <si>
    <t>Days from reading</t>
  </si>
  <si>
    <t>kwh used and cost of usage or export</t>
  </si>
  <si>
    <t>Meter Code 15                  Meter Tariff 11</t>
  </si>
  <si>
    <t>Meter Code 21              Off Peak Tariff 33</t>
  </si>
  <si>
    <t>Meter Code 16      kWH Exported to Grid</t>
  </si>
  <si>
    <t>Debit and Credit Section use - if you OWE + if you are credited</t>
  </si>
  <si>
    <t>Setup Parameters below</t>
  </si>
  <si>
    <t>What I think it is!</t>
  </si>
  <si>
    <t>01</t>
  </si>
  <si>
    <t>Unit Time</t>
  </si>
  <si>
    <t xml:space="preserve">reading date and time  &gt;&gt;&gt; </t>
  </si>
  <si>
    <t>02</t>
  </si>
  <si>
    <t>Unit Date</t>
  </si>
  <si>
    <t>03</t>
  </si>
  <si>
    <t>Net Active energy import +A: Total energy consumed by the customer</t>
  </si>
  <si>
    <t>Power used during billing period ?????</t>
  </si>
  <si>
    <t>04</t>
  </si>
  <si>
    <t>Net Active energy import -A: Total energy generated by the customer</t>
  </si>
  <si>
    <t>Eported to grid at .44c (im on .44)</t>
  </si>
  <si>
    <t>15</t>
  </si>
  <si>
    <t>Active energy import +A L1: Energy consumed by the customer on the Main Element.</t>
  </si>
  <si>
    <t>Tarriff 11 Kwa used during billing period</t>
  </si>
  <si>
    <t>16</t>
  </si>
  <si>
    <t>Active energy export -A L1: Energy generated by the customer on the Main Element.</t>
  </si>
  <si>
    <t>Trotal solar generated and exported?</t>
  </si>
  <si>
    <t>21</t>
  </si>
  <si>
    <t>Active energy import +A L2: Energy consumed by the customer on the Load Control Element.</t>
  </si>
  <si>
    <t>Off peek Tariff 33?</t>
  </si>
  <si>
    <t>22</t>
  </si>
  <si>
    <t>Active energy export -A L2: Energy generated by the customer on the Load Control Element</t>
  </si>
  <si>
    <t>off peak solar?</t>
  </si>
  <si>
    <t>ALT1</t>
  </si>
  <si>
    <t>41</t>
  </si>
  <si>
    <t>Active power import +P L1: Instantaneous power consumed by the customer on the Main Element.</t>
  </si>
  <si>
    <t>Watts Consumed instant</t>
  </si>
  <si>
    <t>46</t>
  </si>
  <si>
    <t>Active power export -P L1: Instantaneous power generated by the customer on the Main Element.</t>
  </si>
  <si>
    <t>Watts Solar produced Instant?</t>
  </si>
  <si>
    <t>42</t>
  </si>
  <si>
    <t>Active power import +P L2: Instantaneous power consumed by the customer on the Load Control Element</t>
  </si>
  <si>
    <t>Off peek Watts instant</t>
  </si>
  <si>
    <t>47</t>
  </si>
  <si>
    <t>Active power export -P L2: Instantaneous power generated by the customer on the Load Control Element.</t>
  </si>
  <si>
    <t>Solar exported Instant</t>
  </si>
  <si>
    <t>95</t>
  </si>
  <si>
    <t>Error message: Shows any errors that the meter has detected.</t>
  </si>
  <si>
    <t>Just error messages</t>
  </si>
  <si>
    <t>ALT2</t>
  </si>
  <si>
    <t>AL</t>
  </si>
  <si>
    <t>Installation Menu</t>
  </si>
  <si>
    <t>36</t>
  </si>
  <si>
    <t>RMS Current phase 1 IL1: Instantaneous current through the Main Element.</t>
  </si>
  <si>
    <t>Total currant in amps tariff 11?</t>
  </si>
  <si>
    <t>37</t>
  </si>
  <si>
    <t>RMS Current phase 2 IL1: Instantaneous current through the Load Control Element.</t>
  </si>
  <si>
    <t>Total currant in amps tariff 33?</t>
  </si>
  <si>
    <t>33</t>
  </si>
  <si>
    <t>RMS Current phase 1 IL1: Mains voltage at the meter.</t>
  </si>
  <si>
    <t>Total volts at meter!</t>
  </si>
  <si>
    <t>49</t>
  </si>
  <si>
    <t>Instantaneous Power Factor.</t>
  </si>
  <si>
    <t>Power factor ???</t>
  </si>
  <si>
    <t>53</t>
  </si>
  <si>
    <t>Instantaneous Line Frequency</t>
  </si>
  <si>
    <t>hrtz</t>
  </si>
  <si>
    <t>Credit/Debit from previous Bill use +/- to enter numbers</t>
  </si>
  <si>
    <t>Total Daily Service, Metering and Solar +T11 &amp; T33</t>
  </si>
  <si>
    <t>Month start</t>
  </si>
  <si>
    <t>Days In Month</t>
  </si>
  <si>
    <t>Sarting Credit</t>
  </si>
  <si>
    <t>Daily Service Fee Tariff 11</t>
  </si>
  <si>
    <t>Daily Service Fee Tariff 33</t>
  </si>
  <si>
    <t>Metering Service Charge</t>
  </si>
  <si>
    <t>Fees       Sub Total    Per Day</t>
  </si>
  <si>
    <t>Tariff 11 kWh Consumed</t>
  </si>
  <si>
    <t>Tariff 33 kWh Consumed</t>
  </si>
  <si>
    <t>Service and Metering fees</t>
  </si>
  <si>
    <t>Total Fees and Usage</t>
  </si>
  <si>
    <t>Solar Exported kWh</t>
  </si>
  <si>
    <t>Sub Total</t>
  </si>
  <si>
    <t>Total Bill Aprox</t>
  </si>
  <si>
    <t>Tariff 11 Accumilated Usage kWH</t>
  </si>
  <si>
    <t>Tariff 33 Accumilated Usage kWH</t>
  </si>
  <si>
    <t>Solar Accumilated Usage kWH</t>
  </si>
  <si>
    <t>&lt; old meter data</t>
  </si>
  <si>
    <t>`</t>
  </si>
  <si>
    <t>Select your solar FIT with the drop down box  (use the Finacial Year)</t>
  </si>
  <si>
    <t>C per KWh</t>
  </si>
  <si>
    <t>FY 2024-2025</t>
  </si>
  <si>
    <t>FY 2025-2026</t>
  </si>
  <si>
    <t>New Ergon Meter Reading.</t>
  </si>
  <si>
    <t>Used</t>
  </si>
  <si>
    <t>Progressive</t>
  </si>
  <si>
    <t>Code</t>
  </si>
  <si>
    <t>Avg usage per day</t>
  </si>
  <si>
    <t>Avg export per day</t>
  </si>
  <si>
    <t>What Feed In Tariff are you on .44 or 0.1264 per KW Hour</t>
  </si>
  <si>
    <t>2024-25</t>
  </si>
  <si>
    <t>2025-26</t>
  </si>
  <si>
    <t>Any Credits Due</t>
  </si>
  <si>
    <t>2023-24</t>
  </si>
  <si>
    <t>All rates avail from Ergon web page And Inc GST changes 1st July</t>
  </si>
  <si>
    <t>just a every now and then I check data from the meter why? I dunno I just do, and then I put it in here - guess I just like numbers..</t>
  </si>
  <si>
    <t>again just dettails from each bill, so I get an overlook on each month and keep track. - no need to do anything here too. Its just something I look 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</si>
</sst>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;[Red]\-&quot;$&quot;#,##0"/>
    <numFmt numFmtId="8" formatCode="&quot;$&quot;#,##0.00;[Red]\-&quot;$&quot;#,##0.00"/>
    <numFmt numFmtId="164" formatCode="&quot;$&quot;#,##0.00_);[Red]\(&quot;$&quot;#,##0.00\)"/>
    <numFmt numFmtId="165" formatCode="&quot;$&quot;#,##0.000"/>
    <numFmt numFmtId="166" formatCode="&quot;$&quot;#,##0.00"/>
    <numFmt numFmtId="167" formatCode="&quot;$&quot;#,##0.00;[Red]&quot;$&quot;#,##0.00"/>
    <numFmt numFmtId="168" formatCode="&quot;$&quot;#,##0.0000"/>
    <numFmt numFmtId="169" formatCode="dd/mm/yyyy;@"/>
    <numFmt numFmtId="170" formatCode="&quot;$&quot;#,##0"/>
    <numFmt numFmtId="171" formatCode="&quot;$&quot;#,##0.0000;[Red]\-&quot;$&quot;#,##0.0000"/>
    <numFmt numFmtId="172" formatCode="&quot;$&quot;#,##0;[Red]&quot;$&quot;#,##0"/>
  </numFmts>
  <fonts count="5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4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theme="1" tint="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00B0F0"/>
      <name val="Arial"/>
      <family val="2"/>
    </font>
    <font>
      <sz val="11"/>
      <color theme="1"/>
      <name val="Arial"/>
      <family val="2"/>
    </font>
    <font>
      <sz val="11"/>
      <color theme="8"/>
      <name val="Arial"/>
      <family val="2"/>
    </font>
    <font>
      <b/>
      <i/>
      <sz val="11"/>
      <color theme="5" tint="-0.249977111117893"/>
      <name val="Calibri"/>
      <family val="2"/>
      <scheme val="minor"/>
    </font>
    <font>
      <b/>
      <i/>
      <sz val="36"/>
      <color theme="1"/>
      <name val="Calibri"/>
      <family val="2"/>
      <scheme val="minor"/>
    </font>
    <font>
      <b/>
      <sz val="18"/>
      <color theme="8" tint="-0.249977111117893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rgb="FFDD0806"/>
      <name val="Calibri"/>
      <family val="2"/>
    </font>
    <font>
      <b/>
      <sz val="14"/>
      <color rgb="FFDD0806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2" fillId="2" borderId="0" xfId="0" applyNumberFormat="1" applyFont="1" applyFill="1" applyAlignment="1" applyProtection="1">
      <alignment horizontal="left"/>
      <protection locked="0"/>
    </xf>
    <xf numFmtId="0" fontId="9" fillId="0" borderId="0" xfId="0" applyFont="1"/>
    <xf numFmtId="166" fontId="2" fillId="2" borderId="0" xfId="0" applyNumberFormat="1" applyFont="1" applyFill="1" applyAlignment="1" applyProtection="1">
      <alignment horizontal="left"/>
      <protection locked="0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66" fontId="12" fillId="0" borderId="0" xfId="0" applyNumberFormat="1" applyFont="1" applyAlignment="1">
      <alignment horizontal="left" vertical="center"/>
    </xf>
    <xf numFmtId="164" fontId="12" fillId="0" borderId="0" xfId="0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" fontId="0" fillId="0" borderId="0" xfId="0" applyNumberFormat="1"/>
    <xf numFmtId="166" fontId="0" fillId="0" borderId="0" xfId="0" applyNumberFormat="1"/>
    <xf numFmtId="169" fontId="21" fillId="2" borderId="0" xfId="0" applyNumberFormat="1" applyFont="1" applyFill="1" applyAlignment="1" applyProtection="1">
      <alignment horizontal="left"/>
      <protection locked="0"/>
    </xf>
    <xf numFmtId="0" fontId="26" fillId="2" borderId="0" xfId="0" applyFont="1" applyFill="1" applyAlignment="1" applyProtection="1">
      <alignment horizontal="left"/>
      <protection locked="0"/>
    </xf>
    <xf numFmtId="0" fontId="27" fillId="2" borderId="0" xfId="0" applyFont="1" applyFill="1" applyAlignment="1" applyProtection="1">
      <alignment horizontal="left"/>
      <protection locked="0"/>
    </xf>
    <xf numFmtId="0" fontId="25" fillId="2" borderId="0" xfId="0" applyFont="1" applyFill="1" applyAlignment="1" applyProtection="1">
      <alignment horizontal="left"/>
      <protection locked="0"/>
    </xf>
    <xf numFmtId="49" fontId="0" fillId="0" borderId="0" xfId="0" applyNumberFormat="1"/>
    <xf numFmtId="0" fontId="19" fillId="0" borderId="0" xfId="0" applyFont="1"/>
    <xf numFmtId="0" fontId="29" fillId="0" borderId="0" xfId="0" applyFont="1"/>
    <xf numFmtId="49" fontId="29" fillId="0" borderId="0" xfId="0" applyNumberFormat="1" applyFont="1"/>
    <xf numFmtId="0" fontId="30" fillId="0" borderId="0" xfId="0" applyFont="1"/>
    <xf numFmtId="0" fontId="31" fillId="4" borderId="2" xfId="0" applyFont="1" applyFill="1" applyBorder="1" applyAlignment="1" applyProtection="1">
      <alignment horizontal="center"/>
      <protection locked="0"/>
    </xf>
    <xf numFmtId="0" fontId="32" fillId="4" borderId="2" xfId="0" applyFont="1" applyFill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center" vertical="center" wrapText="1"/>
      <protection locked="0"/>
    </xf>
    <xf numFmtId="0" fontId="34" fillId="0" borderId="3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5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5" fillId="0" borderId="6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2" fillId="4" borderId="1" xfId="0" applyFont="1" applyFill="1" applyBorder="1" applyAlignment="1" applyProtection="1">
      <alignment horizontal="center" vertical="center" wrapText="1"/>
      <protection locked="0"/>
    </xf>
    <xf numFmtId="0" fontId="33" fillId="4" borderId="1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/>
    <xf numFmtId="4" fontId="0" fillId="0" borderId="0" xfId="0" applyNumberFormat="1"/>
    <xf numFmtId="0" fontId="37" fillId="0" borderId="0" xfId="0" applyFont="1"/>
    <xf numFmtId="0" fontId="38" fillId="0" borderId="0" xfId="0" applyFont="1"/>
    <xf numFmtId="2" fontId="39" fillId="0" borderId="0" xfId="0" applyNumberFormat="1" applyFont="1" applyAlignment="1">
      <alignment horizont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16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0" fillId="0" borderId="0" xfId="0" applyFont="1" applyAlignment="1">
      <alignment wrapText="1"/>
    </xf>
    <xf numFmtId="0" fontId="31" fillId="0" borderId="5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/>
    </xf>
    <xf numFmtId="6" fontId="31" fillId="0" borderId="5" xfId="0" applyNumberFormat="1" applyFont="1" applyBorder="1" applyAlignment="1">
      <alignment horizontal="center"/>
    </xf>
    <xf numFmtId="0" fontId="32" fillId="4" borderId="7" xfId="0" applyFont="1" applyFill="1" applyBorder="1" applyAlignment="1" applyProtection="1">
      <alignment horizontal="center" vertical="center" wrapText="1"/>
      <protection locked="0"/>
    </xf>
    <xf numFmtId="0" fontId="33" fillId="4" borderId="7" xfId="0" applyFont="1" applyFill="1" applyBorder="1" applyAlignment="1" applyProtection="1">
      <alignment horizontal="center" vertical="center" wrapText="1"/>
      <protection locked="0"/>
    </xf>
    <xf numFmtId="2" fontId="31" fillId="4" borderId="2" xfId="0" applyNumberFormat="1" applyFont="1" applyFill="1" applyBorder="1" applyAlignment="1" applyProtection="1">
      <alignment horizontal="center"/>
      <protection locked="0"/>
    </xf>
    <xf numFmtId="14" fontId="0" fillId="4" borderId="8" xfId="0" applyNumberFormat="1" applyFill="1" applyBorder="1" applyAlignment="1" applyProtection="1">
      <alignment horizontal="center"/>
      <protection locked="0"/>
    </xf>
    <xf numFmtId="1" fontId="0" fillId="0" borderId="2" xfId="0" applyNumberFormat="1" applyBorder="1" applyAlignment="1">
      <alignment horizontal="center"/>
    </xf>
    <xf numFmtId="168" fontId="0" fillId="0" borderId="2" xfId="0" applyNumberFormat="1" applyBorder="1" applyAlignment="1">
      <alignment horizontal="center"/>
    </xf>
    <xf numFmtId="171" fontId="0" fillId="0" borderId="2" xfId="0" applyNumberFormat="1" applyBorder="1" applyAlignment="1">
      <alignment horizontal="center"/>
    </xf>
    <xf numFmtId="8" fontId="0" fillId="0" borderId="2" xfId="0" applyNumberFormat="1" applyBorder="1" applyAlignment="1">
      <alignment horizontal="center"/>
    </xf>
    <xf numFmtId="166" fontId="0" fillId="5" borderId="7" xfId="0" applyNumberFormat="1" applyFill="1" applyBorder="1" applyAlignment="1">
      <alignment horizontal="center"/>
    </xf>
    <xf numFmtId="170" fontId="0" fillId="4" borderId="7" xfId="0" applyNumberFormat="1" applyFill="1" applyBorder="1" applyAlignment="1" applyProtection="1">
      <alignment horizontal="center" vertical="top" wrapText="1"/>
      <protection locked="0"/>
    </xf>
    <xf numFmtId="166" fontId="0" fillId="5" borderId="9" xfId="0" applyNumberFormat="1" applyFill="1" applyBorder="1" applyAlignment="1">
      <alignment horizontal="center"/>
    </xf>
    <xf numFmtId="14" fontId="0" fillId="4" borderId="10" xfId="0" applyNumberFormat="1" applyFill="1" applyBorder="1" applyAlignment="1" applyProtection="1">
      <alignment horizontal="center"/>
      <protection locked="0"/>
    </xf>
    <xf numFmtId="1" fontId="0" fillId="0" borderId="7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170" fontId="0" fillId="4" borderId="2" xfId="0" applyNumberFormat="1" applyFill="1" applyBorder="1" applyAlignment="1" applyProtection="1">
      <alignment horizontal="center" vertical="top" wrapText="1"/>
      <protection locked="0"/>
    </xf>
    <xf numFmtId="2" fontId="35" fillId="4" borderId="2" xfId="0" applyNumberFormat="1" applyFont="1" applyFill="1" applyBorder="1" applyAlignment="1" applyProtection="1">
      <alignment horizontal="center" vertical="center" wrapText="1"/>
      <protection locked="0"/>
    </xf>
    <xf numFmtId="166" fontId="0" fillId="5" borderId="2" xfId="0" applyNumberFormat="1" applyFill="1" applyBorder="1" applyAlignment="1">
      <alignment horizontal="center"/>
    </xf>
    <xf numFmtId="166" fontId="0" fillId="5" borderId="11" xfId="0" applyNumberFormat="1" applyFill="1" applyBorder="1" applyAlignment="1">
      <alignment horizontal="center"/>
    </xf>
    <xf numFmtId="166" fontId="0" fillId="5" borderId="12" xfId="0" applyNumberFormat="1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66" fontId="31" fillId="0" borderId="1" xfId="0" applyNumberFormat="1" applyFont="1" applyBorder="1" applyAlignment="1">
      <alignment horizontal="center"/>
    </xf>
    <xf numFmtId="2" fontId="31" fillId="4" borderId="1" xfId="0" applyNumberFormat="1" applyFont="1" applyFill="1" applyBorder="1" applyAlignment="1" applyProtection="1">
      <alignment horizontal="center"/>
      <protection locked="0"/>
    </xf>
    <xf numFmtId="166" fontId="3" fillId="0" borderId="1" xfId="0" applyNumberFormat="1" applyFont="1" applyBorder="1" applyAlignment="1">
      <alignment horizontal="center"/>
    </xf>
    <xf numFmtId="166" fontId="35" fillId="0" borderId="1" xfId="0" applyNumberFormat="1" applyFont="1" applyBorder="1" applyAlignment="1">
      <alignment horizontal="center"/>
    </xf>
    <xf numFmtId="166" fontId="43" fillId="0" borderId="1" xfId="0" applyNumberFormat="1" applyFont="1" applyBorder="1" applyAlignment="1">
      <alignment horizontal="center"/>
    </xf>
    <xf numFmtId="17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72" fontId="44" fillId="0" borderId="13" xfId="0" applyNumberFormat="1" applyFont="1" applyBorder="1" applyAlignment="1">
      <alignment horizontal="center"/>
    </xf>
    <xf numFmtId="14" fontId="0" fillId="4" borderId="12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>
      <alignment horizontal="center"/>
    </xf>
    <xf numFmtId="170" fontId="0" fillId="4" borderId="1" xfId="0" applyNumberFormat="1" applyFill="1" applyBorder="1" applyAlignment="1" applyProtection="1">
      <alignment horizontal="center" vertical="top" wrapText="1"/>
      <protection locked="0"/>
    </xf>
    <xf numFmtId="168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31" fillId="4" borderId="1" xfId="0" applyFont="1" applyFill="1" applyBorder="1" applyAlignment="1" applyProtection="1">
      <alignment horizontal="center"/>
      <protection locked="0"/>
    </xf>
    <xf numFmtId="2" fontId="35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0" fillId="5" borderId="13" xfId="0" applyNumberFormat="1" applyFill="1" applyBorder="1" applyAlignment="1">
      <alignment horizontal="center"/>
    </xf>
    <xf numFmtId="2" fontId="31" fillId="4" borderId="7" xfId="0" applyNumberFormat="1" applyFont="1" applyFill="1" applyBorder="1" applyAlignment="1" applyProtection="1">
      <alignment horizontal="center"/>
      <protection locked="0"/>
    </xf>
    <xf numFmtId="166" fontId="0" fillId="6" borderId="12" xfId="0" applyNumberFormat="1" applyFill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166" fontId="0" fillId="6" borderId="13" xfId="0" applyNumberFormat="1" applyFill="1" applyBorder="1" applyAlignment="1">
      <alignment horizontal="center"/>
    </xf>
    <xf numFmtId="0" fontId="31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5" fillId="6" borderId="0" xfId="0" applyFont="1" applyFill="1" applyAlignment="1">
      <alignment horizontal="center"/>
    </xf>
    <xf numFmtId="0" fontId="30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8" fillId="0" borderId="15" xfId="0" applyFont="1" applyBorder="1" applyAlignment="1">
      <alignment horizontal="center" vertical="center" wrapText="1"/>
    </xf>
    <xf numFmtId="2" fontId="35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left"/>
      <protection locked="0"/>
    </xf>
    <xf numFmtId="4" fontId="25" fillId="2" borderId="0" xfId="0" applyNumberFormat="1" applyFont="1" applyFill="1" applyAlignment="1" applyProtection="1">
      <alignment horizontal="left"/>
      <protection locked="0"/>
    </xf>
    <xf numFmtId="0" fontId="16" fillId="0" borderId="0" xfId="0" applyFont="1" applyAlignment="1">
      <alignment horizontal="left"/>
    </xf>
    <xf numFmtId="0" fontId="28" fillId="0" borderId="0" xfId="0" applyFont="1"/>
    <xf numFmtId="0" fontId="22" fillId="0" borderId="0" xfId="0" applyFont="1" applyAlignment="1">
      <alignment horizontal="right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6" fontId="4" fillId="0" borderId="0" xfId="0" applyNumberFormat="1" applyFont="1" applyAlignment="1">
      <alignment horizontal="left"/>
    </xf>
    <xf numFmtId="0" fontId="15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left"/>
    </xf>
    <xf numFmtId="0" fontId="13" fillId="0" borderId="0" xfId="0" applyFont="1" applyAlignment="1">
      <alignment horizontal="right"/>
    </xf>
    <xf numFmtId="0" fontId="2" fillId="3" borderId="0" xfId="0" applyFont="1" applyFill="1" applyAlignment="1">
      <alignment horizontal="left"/>
    </xf>
    <xf numFmtId="0" fontId="2" fillId="3" borderId="0" xfId="0" applyFont="1" applyFill="1"/>
    <xf numFmtId="167" fontId="10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8" fontId="0" fillId="0" borderId="0" xfId="0" applyNumberFormat="1" applyAlignment="1">
      <alignment horizontal="left"/>
    </xf>
    <xf numFmtId="8" fontId="0" fillId="0" borderId="0" xfId="0" applyNumberFormat="1"/>
    <xf numFmtId="166" fontId="2" fillId="0" borderId="0" xfId="0" applyNumberFormat="1" applyFont="1" applyAlignment="1">
      <alignment horizontal="left"/>
    </xf>
    <xf numFmtId="0" fontId="27" fillId="0" borderId="0" xfId="0" applyFont="1" applyAlignment="1">
      <alignment horizontal="right"/>
    </xf>
    <xf numFmtId="0" fontId="25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left"/>
    </xf>
    <xf numFmtId="166" fontId="19" fillId="0" borderId="1" xfId="0" applyNumberFormat="1" applyFont="1" applyBorder="1" applyAlignment="1">
      <alignment horizontal="left"/>
    </xf>
    <xf numFmtId="166" fontId="19" fillId="0" borderId="0" xfId="0" applyNumberFormat="1" applyFont="1" applyAlignment="1">
      <alignment horizontal="left"/>
    </xf>
    <xf numFmtId="167" fontId="2" fillId="0" borderId="0" xfId="0" applyNumberFormat="1" applyFont="1" applyAlignment="1">
      <alignment horizontal="left"/>
    </xf>
    <xf numFmtId="0" fontId="25" fillId="0" borderId="0" xfId="0" applyFont="1" applyAlignment="1">
      <alignment horizontal="right"/>
    </xf>
    <xf numFmtId="0" fontId="13" fillId="0" borderId="1" xfId="0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0" fontId="26" fillId="0" borderId="0" xfId="0" applyFont="1" applyAlignment="1">
      <alignment horizontal="right"/>
    </xf>
    <xf numFmtId="0" fontId="24" fillId="0" borderId="1" xfId="0" applyFont="1" applyBorder="1" applyAlignment="1">
      <alignment horizontal="left"/>
    </xf>
    <xf numFmtId="166" fontId="5" fillId="0" borderId="1" xfId="0" applyNumberFormat="1" applyFont="1" applyBorder="1" applyAlignment="1">
      <alignment horizontal="left"/>
    </xf>
    <xf numFmtId="166" fontId="5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66" fontId="52" fillId="0" borderId="0" xfId="0" applyNumberFormat="1" applyFont="1" applyAlignment="1">
      <alignment horizontal="left"/>
    </xf>
    <xf numFmtId="0" fontId="54" fillId="0" borderId="0" xfId="0" applyFont="1"/>
    <xf numFmtId="0" fontId="21" fillId="0" borderId="0" xfId="0" applyFont="1"/>
    <xf numFmtId="0" fontId="2" fillId="0" borderId="0" xfId="0" applyFont="1"/>
    <xf numFmtId="166" fontId="18" fillId="0" borderId="0" xfId="0" applyNumberFormat="1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14" fontId="53" fillId="0" borderId="0" xfId="0" applyNumberFormat="1" applyFont="1"/>
    <xf numFmtId="0" fontId="53" fillId="0" borderId="0" xfId="0" applyFont="1"/>
    <xf numFmtId="0" fontId="53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167" fontId="10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7" fontId="20" fillId="0" borderId="1" xfId="0" applyNumberFormat="1" applyFont="1" applyBorder="1" applyAlignment="1">
      <alignment horizontal="left" vertical="center"/>
    </xf>
    <xf numFmtId="166" fontId="0" fillId="0" borderId="0" xfId="0" applyNumberFormat="1" applyAlignment="1">
      <alignment horizontal="right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wrapTex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4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0"/>
        </patternFill>
      </fill>
    </dxf>
    <dxf>
      <font>
        <color rgb="FF9C0006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80314960629922"/>
          <c:y val="2.5428331875182269E-2"/>
          <c:w val="0.83187751531058618"/>
          <c:h val="0.61498432487605714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Tariff 11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4F81BD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Sheet1!$B$3:$B$13</c:f>
              <c:numCache>
                <c:formatCode>m/d/yyyy</c:formatCode>
                <c:ptCount val="11"/>
                <c:pt idx="0">
                  <c:v>41453</c:v>
                </c:pt>
                <c:pt idx="1">
                  <c:v>41549</c:v>
                </c:pt>
                <c:pt idx="2">
                  <c:v>41646</c:v>
                </c:pt>
                <c:pt idx="3">
                  <c:v>41726</c:v>
                </c:pt>
                <c:pt idx="4">
                  <c:v>41817</c:v>
                </c:pt>
                <c:pt idx="5">
                  <c:v>41907</c:v>
                </c:pt>
                <c:pt idx="6">
                  <c:v>41997</c:v>
                </c:pt>
                <c:pt idx="7">
                  <c:v>42090</c:v>
                </c:pt>
                <c:pt idx="8">
                  <c:v>42184</c:v>
                </c:pt>
                <c:pt idx="9">
                  <c:v>42277</c:v>
                </c:pt>
                <c:pt idx="10">
                  <c:v>42369</c:v>
                </c:pt>
              </c:numCache>
            </c:numRef>
          </c:xVal>
          <c:yVal>
            <c:numRef>
              <c:f>Sheet1!$C$3:$C$13</c:f>
              <c:numCache>
                <c:formatCode>General</c:formatCode>
                <c:ptCount val="11"/>
                <c:pt idx="0">
                  <c:v>1212</c:v>
                </c:pt>
                <c:pt idx="1">
                  <c:v>1054</c:v>
                </c:pt>
                <c:pt idx="2">
                  <c:v>1109</c:v>
                </c:pt>
                <c:pt idx="3">
                  <c:v>983</c:v>
                </c:pt>
                <c:pt idx="4">
                  <c:v>1155</c:v>
                </c:pt>
                <c:pt idx="5">
                  <c:v>1034</c:v>
                </c:pt>
                <c:pt idx="6">
                  <c:v>1269</c:v>
                </c:pt>
                <c:pt idx="7">
                  <c:v>1486</c:v>
                </c:pt>
                <c:pt idx="8">
                  <c:v>1486</c:v>
                </c:pt>
                <c:pt idx="9">
                  <c:v>1067</c:v>
                </c:pt>
                <c:pt idx="10">
                  <c:v>961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4B-4BFF-9260-1432AA7F6328}"/>
            </c:ext>
          </c:extLst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Tariff 33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0504D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Sheet1!$B$3:$B$13</c:f>
              <c:numCache>
                <c:formatCode>m/d/yyyy</c:formatCode>
                <c:ptCount val="11"/>
                <c:pt idx="0">
                  <c:v>41453</c:v>
                </c:pt>
                <c:pt idx="1">
                  <c:v>41549</c:v>
                </c:pt>
                <c:pt idx="2">
                  <c:v>41646</c:v>
                </c:pt>
                <c:pt idx="3">
                  <c:v>41726</c:v>
                </c:pt>
                <c:pt idx="4">
                  <c:v>41817</c:v>
                </c:pt>
                <c:pt idx="5">
                  <c:v>41907</c:v>
                </c:pt>
                <c:pt idx="6">
                  <c:v>41997</c:v>
                </c:pt>
                <c:pt idx="7">
                  <c:v>42090</c:v>
                </c:pt>
                <c:pt idx="8">
                  <c:v>42184</c:v>
                </c:pt>
                <c:pt idx="9">
                  <c:v>42277</c:v>
                </c:pt>
                <c:pt idx="10">
                  <c:v>42369</c:v>
                </c:pt>
              </c:numCache>
            </c:numRef>
          </c:xVal>
          <c:yVal>
            <c:numRef>
              <c:f>Sheet1!$D$3:$D$13</c:f>
              <c:numCache>
                <c:formatCode>General</c:formatCode>
                <c:ptCount val="11"/>
                <c:pt idx="0">
                  <c:v>1251</c:v>
                </c:pt>
                <c:pt idx="1">
                  <c:v>1068</c:v>
                </c:pt>
                <c:pt idx="2">
                  <c:v>2193</c:v>
                </c:pt>
                <c:pt idx="3">
                  <c:v>2041</c:v>
                </c:pt>
                <c:pt idx="4">
                  <c:v>1344</c:v>
                </c:pt>
                <c:pt idx="5">
                  <c:v>1441</c:v>
                </c:pt>
                <c:pt idx="6">
                  <c:v>2072</c:v>
                </c:pt>
                <c:pt idx="7">
                  <c:v>3712</c:v>
                </c:pt>
                <c:pt idx="8">
                  <c:v>2286</c:v>
                </c:pt>
                <c:pt idx="9">
                  <c:v>1709</c:v>
                </c:pt>
                <c:pt idx="10">
                  <c:v>2086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4B-4BFF-9260-1432AA7F6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2268223"/>
        <c:axId val="1"/>
      </c:scatterChart>
      <c:valAx>
        <c:axId val="1092268223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m/d/yyyy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92268223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084383202099737"/>
          <c:y val="0.899336176727909"/>
          <c:w val="0.36042847769028868"/>
          <c:h val="7.63914406532516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5F6-4B16-97B1-98F611BBB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2275903"/>
        <c:axId val="1"/>
      </c:barChart>
      <c:catAx>
        <c:axId val="1092275903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nextTo"/>
        <c:spPr>
          <a:ln w="9525">
            <a:noFill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9227590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3" footer="0.3"/>
    <c:pageSetup orientation="portrait"/>
  </c:printSettings>
</c:chartSpace>
</file>

<file path=xl/ctrlProps/ctrlProp1.xml><?xml version="1.0" encoding="utf-8"?>
<formControlPr xmlns="http://schemas.microsoft.com/office/spreadsheetml/2009/9/main" objectType="Button"/>
</file>

<file path=xl/ctrlProps/ctrlProp2.xml><?xml version="1.0" encoding="utf-8"?>
<formControlPr xmlns="http://schemas.microsoft.com/office/spreadsheetml/2009/9/main" objectType="Button"/>
</file>

<file path=xl/ctrlProps/ctrlProp3.xml><?xml version="1.0" encoding="utf-8"?>
<formControlPr xmlns="http://schemas.microsoft.com/office/spreadsheetml/2009/9/main" objectType="Button"/>
</file>

<file path=xl/ctrlProps/ctrlProp4.xml><?xml version="1.0" encoding="utf-8"?>
<formControlPr xmlns="http://schemas.microsoft.com/office/spreadsheetml/2009/9/main" objectType="Button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390525</xdr:colOff>
          <xdr:row>5</xdr:row>
          <xdr:rowOff>9525</xdr:rowOff>
        </xdr:from>
        <xdr:to>
          <xdr:col>9</xdr:col>
          <xdr:colOff>1066800</xdr:colOff>
          <xdr:row>6</xdr:row>
          <xdr:rowOff>152400</xdr:rowOff>
        </xdr:to>
        <xdr:sp macro="" textlink="">
          <xdr:nvSpPr>
            <xdr:cNvPr id="54376" name="Button 104" hidden="1">
              <a:extLst>
                <a:ext uri="{63B3BB69-23CF-44E3-9099-C40C66FF867C}">
                  <a14:compatExt spid="_x0000_s54376"/>
                </a:ext>
                <a:ext uri="{FF2B5EF4-FFF2-40B4-BE49-F238E27FC236}">
                  <a16:creationId xmlns:a16="http://schemas.microsoft.com/office/drawing/2014/main" id="{00000000-0008-0000-0000-000068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U" sz="1100" b="1" i="0" u="none" strike="noStrike" baseline="0">
                  <a:solidFill>
                    <a:srgbClr val="DD0806"/>
                  </a:solidFill>
                  <a:latin typeface="Calibri"/>
                  <a:ea typeface="Calibri"/>
                  <a:cs typeface="Calibri"/>
                </a:rPr>
                <a:t>FY 2024 - 2025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381000</xdr:colOff>
          <xdr:row>7</xdr:row>
          <xdr:rowOff>47625</xdr:rowOff>
        </xdr:from>
        <xdr:to>
          <xdr:col>9</xdr:col>
          <xdr:colOff>1066800</xdr:colOff>
          <xdr:row>8</xdr:row>
          <xdr:rowOff>190500</xdr:rowOff>
        </xdr:to>
        <xdr:sp macro="" textlink="">
          <xdr:nvSpPr>
            <xdr:cNvPr id="54379" name="Button 107" hidden="1">
              <a:extLst>
                <a:ext uri="{63B3BB69-23CF-44E3-9099-C40C66FF867C}">
                  <a14:compatExt spid="_x0000_s54379"/>
                </a:ext>
                <a:ext uri="{FF2B5EF4-FFF2-40B4-BE49-F238E27FC236}">
                  <a16:creationId xmlns:a16="http://schemas.microsoft.com/office/drawing/2014/main" id="{00000000-0008-0000-0000-00006B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U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FY 2025 - 2026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390525</xdr:colOff>
          <xdr:row>2</xdr:row>
          <xdr:rowOff>152400</xdr:rowOff>
        </xdr:from>
        <xdr:to>
          <xdr:col>9</xdr:col>
          <xdr:colOff>1066800</xdr:colOff>
          <xdr:row>4</xdr:row>
          <xdr:rowOff>123825</xdr:rowOff>
        </xdr:to>
        <xdr:sp macro="" textlink="">
          <xdr:nvSpPr>
            <xdr:cNvPr id="54380" name="Button 108" hidden="1">
              <a:extLst>
                <a:ext uri="{63B3BB69-23CF-44E3-9099-C40C66FF867C}">
                  <a14:compatExt spid="_x0000_s54380"/>
                </a:ext>
                <a:ext uri="{FF2B5EF4-FFF2-40B4-BE49-F238E27FC236}">
                  <a16:creationId xmlns:a16="http://schemas.microsoft.com/office/drawing/2014/main" id="{00000000-0008-0000-0000-00006C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U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FY 2023 - 2024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13</xdr:row>
          <xdr:rowOff>190500</xdr:rowOff>
        </xdr:from>
        <xdr:to>
          <xdr:col>9</xdr:col>
          <xdr:colOff>1143000</xdr:colOff>
          <xdr:row>17</xdr:row>
          <xdr:rowOff>19050</xdr:rowOff>
        </xdr:to>
        <xdr:sp macro="" textlink="">
          <xdr:nvSpPr>
            <xdr:cNvPr id="54389" name="Button 117" hidden="1">
              <a:extLst>
                <a:ext uri="{63B3BB69-23CF-44E3-9099-C40C66FF867C}">
                  <a14:compatExt spid="_x0000_s54389"/>
                </a:ext>
                <a:ext uri="{FF2B5EF4-FFF2-40B4-BE49-F238E27FC236}">
                  <a16:creationId xmlns:a16="http://schemas.microsoft.com/office/drawing/2014/main" id="{00000000-0008-0000-0000-000075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AU" sz="1400" b="1" i="0" u="none" strike="noStrike" baseline="0">
                  <a:solidFill>
                    <a:srgbClr val="DD0806"/>
                  </a:solidFill>
                  <a:latin typeface="Calibri"/>
                  <a:ea typeface="Calibri"/>
                  <a:cs typeface="Calibri"/>
                </a:rPr>
                <a:t>.44 cents Solar</a:t>
              </a:r>
            </a:p>
            <a:p>
              <a:pPr algn="ctr" rtl="0">
                <a:defRPr sz="1000"/>
              </a:pPr>
              <a:r>
                <a:rPr lang="en-AU" sz="1400" b="1" i="0" u="none" strike="noStrike" baseline="0">
                  <a:solidFill>
                    <a:srgbClr val="DD0806"/>
                  </a:solidFill>
                  <a:latin typeface="Calibri"/>
                  <a:ea typeface="Calibri"/>
                  <a:cs typeface="Calibri"/>
                </a:rPr>
                <a:t>Override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31</xdr:row>
      <xdr:rowOff>76200</xdr:rowOff>
    </xdr:to>
    <xdr:pic>
      <xdr:nvPicPr>
        <xdr:cNvPr id="577549" name="Picture 1">
          <a:extLst>
            <a:ext uri="{FF2B5EF4-FFF2-40B4-BE49-F238E27FC236}">
              <a16:creationId xmlns:a16="http://schemas.microsoft.com/office/drawing/2014/main" id="{C7C5510B-75F1-F6C4-8331-0E8D4CD46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5695950" cy="579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590550</xdr:colOff>
      <xdr:row>1</xdr:row>
      <xdr:rowOff>0</xdr:rowOff>
    </xdr:from>
    <xdr:to>
      <xdr:col>16</xdr:col>
      <xdr:colOff>285750</xdr:colOff>
      <xdr:row>15</xdr:row>
      <xdr:rowOff>76200</xdr:rowOff>
    </xdr:to>
    <xdr:graphicFrame macro="">
      <xdr:nvGraphicFramePr>
        <xdr:cNvPr id="1515" name="Chart 2">
          <a:extLst>
            <a:ext uri="{FF2B5EF4-FFF2-40B4-BE49-F238E27FC236}">
              <a16:creationId xmlns:a16="http://schemas.microsoft.com/office/drawing/2014/main" id="{C626CB1D-174D-5397-6F02-B0D6AC4CFE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17</xdr:row>
      <xdr:rowOff>104775</xdr:rowOff>
    </xdr:from>
    <xdr:to>
      <xdr:col>20</xdr:col>
      <xdr:colOff>133350</xdr:colOff>
      <xdr:row>31</xdr:row>
      <xdr:rowOff>180975</xdr:rowOff>
    </xdr:to>
    <xdr:graphicFrame macro="">
      <xdr:nvGraphicFramePr>
        <xdr:cNvPr id="1516" name="Chart 2">
          <a:extLst>
            <a:ext uri="{FF2B5EF4-FFF2-40B4-BE49-F238E27FC236}">
              <a16:creationId xmlns:a16="http://schemas.microsoft.com/office/drawing/2014/main" id="{CAF2574D-BB15-2398-5A2B-0AADF821D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8D9F6-F758-4B27-8D05-397044CBC0D2}">
  <sheetPr codeName="Sheet1">
    <pageSetUpPr autoPageBreaks="0" fitToPage="1"/>
  </sheetPr>
  <dimension ref="A2:S40"/>
  <sheetViews>
    <sheetView showGridLines="0" tabSelected="1" zoomScale="90" zoomScaleNormal="90" workbookViewId="0">
      <selection activeCell="H4" sqref="H4:H9"/>
    </sheetView>
  </sheetViews>
  <sheetFormatPr defaultColWidth="8.85546875" defaultRowHeight="15.75" x14ac:dyDescent="0.25"/>
  <cols>
    <col min="1" max="1" width="2.7109375" customWidth="1"/>
    <col min="2" max="2" width="52" customWidth="1"/>
    <col min="3" max="3" width="2.7109375" style="8" customWidth="1"/>
    <col min="4" max="4" width="18.5703125" customWidth="1"/>
    <col min="5" max="5" width="16.5703125" customWidth="1"/>
    <col min="6" max="6" width="5.140625" style="3" customWidth="1"/>
    <col min="7" max="7" width="31" style="17" customWidth="1"/>
    <col min="8" max="8" width="22.28515625" customWidth="1"/>
    <col min="9" max="9" width="11.85546875" style="17" customWidth="1"/>
    <col min="10" max="10" width="19.42578125" style="17" customWidth="1"/>
    <col min="12" max="12" width="1.7109375" customWidth="1"/>
    <col min="14" max="14" width="1.85546875" customWidth="1"/>
    <col min="16" max="16" width="28.7109375" style="17" customWidth="1"/>
    <col min="17" max="17" width="26" customWidth="1"/>
    <col min="18" max="18" width="15.42578125" customWidth="1"/>
    <col min="19" max="19" width="13.5703125" customWidth="1"/>
    <col min="20" max="20" width="4.42578125" customWidth="1"/>
    <col min="21" max="21" width="5.5703125" customWidth="1"/>
  </cols>
  <sheetData>
    <row r="2" spans="1:19" x14ac:dyDescent="0.25">
      <c r="B2" s="51" t="s">
        <v>133</v>
      </c>
      <c r="C2"/>
      <c r="G2" s="133"/>
    </row>
    <row r="3" spans="1:19" ht="13.5" customHeight="1" x14ac:dyDescent="0.25">
      <c r="C3"/>
      <c r="G3" s="134" t="s">
        <v>38</v>
      </c>
      <c r="K3" s="58" t="s">
        <v>132</v>
      </c>
      <c r="L3" s="58"/>
      <c r="M3" s="58" t="s">
        <v>129</v>
      </c>
      <c r="N3" s="58"/>
      <c r="O3" s="58" t="s">
        <v>130</v>
      </c>
      <c r="P3" s="14"/>
      <c r="R3" s="15"/>
      <c r="S3" s="15"/>
    </row>
    <row r="4" spans="1:19" x14ac:dyDescent="0.25">
      <c r="B4" s="135" t="s">
        <v>8</v>
      </c>
      <c r="C4" s="136"/>
      <c r="D4" s="137">
        <f ca="1">G18-D5</f>
        <v>17</v>
      </c>
      <c r="E4" s="138" t="s">
        <v>32</v>
      </c>
      <c r="F4" s="8"/>
      <c r="G4" s="17" t="s">
        <v>18</v>
      </c>
      <c r="H4" s="131">
        <v>0.34068999999999999</v>
      </c>
      <c r="K4" s="139">
        <v>0.33250000000000002</v>
      </c>
      <c r="M4" s="139">
        <v>0.34068999999999999</v>
      </c>
      <c r="N4" s="139"/>
      <c r="O4" s="139">
        <v>0.33940999999999999</v>
      </c>
      <c r="P4" s="17" t="s">
        <v>18</v>
      </c>
    </row>
    <row r="5" spans="1:19" ht="15.75" customHeight="1" x14ac:dyDescent="0.25">
      <c r="B5" s="140" t="s">
        <v>3</v>
      </c>
      <c r="D5" s="9">
        <v>45732</v>
      </c>
      <c r="E5" s="186">
        <f ca="1">D4</f>
        <v>17</v>
      </c>
      <c r="F5" s="8"/>
      <c r="G5" s="17" t="s">
        <v>19</v>
      </c>
      <c r="H5" s="131">
        <v>0.21104000000000001</v>
      </c>
      <c r="K5" s="139">
        <v>0.22561</v>
      </c>
      <c r="M5" s="139">
        <v>0.21104000000000001</v>
      </c>
      <c r="N5" s="139"/>
      <c r="O5" s="139">
        <v>0.16561000000000001</v>
      </c>
      <c r="P5" s="17" t="s">
        <v>19</v>
      </c>
    </row>
    <row r="6" spans="1:19" ht="15.75" customHeight="1" x14ac:dyDescent="0.25">
      <c r="B6" s="140" t="s">
        <v>128</v>
      </c>
      <c r="D6" s="139">
        <f>H6</f>
        <v>0.12377000000000001</v>
      </c>
      <c r="E6" s="186"/>
      <c r="F6" s="8"/>
      <c r="G6" s="17" t="s">
        <v>20</v>
      </c>
      <c r="H6" s="131">
        <v>0.12377000000000001</v>
      </c>
      <c r="K6" s="139">
        <v>0.13411000000000001</v>
      </c>
      <c r="M6" s="139">
        <v>0.12377000000000001</v>
      </c>
      <c r="N6" s="139"/>
      <c r="O6" s="139">
        <v>8.6900000000000005E-2</v>
      </c>
      <c r="P6" s="17" t="s">
        <v>20</v>
      </c>
    </row>
    <row r="7" spans="1:19" ht="14.25" customHeight="1" x14ac:dyDescent="0.25">
      <c r="B7" s="141" t="s">
        <v>0</v>
      </c>
      <c r="D7" s="142">
        <f>SUM(H7+H8)</f>
        <v>1.4037900000000001</v>
      </c>
      <c r="E7" s="186"/>
      <c r="F7" s="143"/>
      <c r="G7" s="17" t="s">
        <v>21</v>
      </c>
      <c r="H7" s="131">
        <v>1.3667</v>
      </c>
      <c r="K7" s="139">
        <v>1.20461</v>
      </c>
      <c r="M7" s="139">
        <v>1.3667</v>
      </c>
      <c r="N7" s="139"/>
      <c r="O7" s="139">
        <v>1.65432</v>
      </c>
      <c r="P7" s="17" t="s">
        <v>21</v>
      </c>
    </row>
    <row r="8" spans="1:19" x14ac:dyDescent="0.25">
      <c r="B8" s="141" t="s">
        <v>23</v>
      </c>
      <c r="D8" s="142">
        <f>H9</f>
        <v>5.0479999999999997E-2</v>
      </c>
      <c r="G8" s="17" t="s">
        <v>22</v>
      </c>
      <c r="H8" s="131">
        <v>3.7089999999999998E-2</v>
      </c>
      <c r="K8" s="139">
        <v>3.7310999999999997E-2</v>
      </c>
      <c r="M8" s="139">
        <v>3.7089999999999998E-2</v>
      </c>
      <c r="N8" s="139"/>
      <c r="O8" s="139">
        <v>0.17052</v>
      </c>
      <c r="P8" s="17" t="s">
        <v>22</v>
      </c>
    </row>
    <row r="9" spans="1:19" x14ac:dyDescent="0.25">
      <c r="B9" s="141" t="s">
        <v>10</v>
      </c>
      <c r="D9" s="144">
        <f>SUM(D7:D8)</f>
        <v>1.4542700000000002</v>
      </c>
      <c r="G9" s="17" t="s">
        <v>23</v>
      </c>
      <c r="H9" s="131">
        <v>5.0479999999999997E-2</v>
      </c>
      <c r="K9" s="139">
        <v>5.1075000000000002E-2</v>
      </c>
      <c r="M9" s="139">
        <v>5.0479999999999997E-2</v>
      </c>
      <c r="N9" s="139"/>
      <c r="O9" s="139">
        <v>0.25522</v>
      </c>
      <c r="P9" s="17" t="s">
        <v>23</v>
      </c>
    </row>
    <row r="10" spans="1:19" x14ac:dyDescent="0.25">
      <c r="B10" s="145"/>
      <c r="D10" s="146" t="s">
        <v>1</v>
      </c>
      <c r="E10" s="147" t="s">
        <v>2</v>
      </c>
      <c r="F10" s="148"/>
      <c r="G10" s="149" t="s">
        <v>33</v>
      </c>
      <c r="H10" s="150"/>
      <c r="I10" s="17" t="s">
        <v>4</v>
      </c>
      <c r="K10" s="130"/>
      <c r="L10" s="130"/>
      <c r="M10" s="151">
        <v>0.44</v>
      </c>
      <c r="N10" s="151"/>
      <c r="O10" s="152"/>
      <c r="P10" s="153"/>
      <c r="S10" s="16"/>
    </row>
    <row r="11" spans="1:19" ht="18.75" x14ac:dyDescent="0.3">
      <c r="B11" s="154" t="s">
        <v>34</v>
      </c>
      <c r="C11" s="155"/>
      <c r="D11" s="25">
        <v>821</v>
      </c>
      <c r="E11" s="25">
        <v>966.5</v>
      </c>
      <c r="F11" s="148"/>
      <c r="G11" s="156">
        <f>E11-D11</f>
        <v>145.5</v>
      </c>
      <c r="H11" s="157">
        <f>G11*H4</f>
        <v>49.570394999999998</v>
      </c>
      <c r="I11" s="158">
        <f ca="1">H11/D4</f>
        <v>2.9159055882352938</v>
      </c>
      <c r="J11" s="159">
        <f ca="1">I11+I12-I13</f>
        <v>5.1636655294117642</v>
      </c>
    </row>
    <row r="12" spans="1:19" ht="18.75" x14ac:dyDescent="0.3">
      <c r="B12" s="160" t="s">
        <v>35</v>
      </c>
      <c r="C12" s="155"/>
      <c r="D12" s="26">
        <v>2179</v>
      </c>
      <c r="E12" s="132">
        <v>2436.6</v>
      </c>
      <c r="F12" s="148"/>
      <c r="G12" s="161">
        <f>E12-D12</f>
        <v>257.59999999999991</v>
      </c>
      <c r="H12" s="162">
        <f>G12*H5</f>
        <v>54.363903999999984</v>
      </c>
      <c r="I12" s="142">
        <f ca="1">H12/D4</f>
        <v>3.1978767058823521</v>
      </c>
      <c r="J12"/>
    </row>
    <row r="13" spans="1:19" ht="17.25" customHeight="1" x14ac:dyDescent="0.35">
      <c r="A13" s="10"/>
      <c r="B13" s="163" t="s">
        <v>36</v>
      </c>
      <c r="C13" s="155"/>
      <c r="D13" s="24">
        <v>1369</v>
      </c>
      <c r="E13" s="24">
        <v>1499.5</v>
      </c>
      <c r="F13" s="148"/>
      <c r="G13" s="164">
        <f>E13-D13</f>
        <v>130.5</v>
      </c>
      <c r="H13" s="165">
        <f>G13*D6</f>
        <v>16.151985</v>
      </c>
      <c r="I13" s="166">
        <f ca="1">H13/D4</f>
        <v>0.95011676470588236</v>
      </c>
      <c r="J13" s="153">
        <f ca="1">I13</f>
        <v>0.95011676470588236</v>
      </c>
      <c r="K13" s="10"/>
      <c r="L13" s="10"/>
      <c r="M13" s="10"/>
      <c r="N13" s="10"/>
      <c r="O13" s="10"/>
      <c r="P13" s="167"/>
      <c r="Q13" s="10"/>
      <c r="R13" s="10"/>
      <c r="S13" s="10"/>
    </row>
    <row r="14" spans="1:19" ht="17.25" customHeight="1" x14ac:dyDescent="0.35">
      <c r="A14" s="10"/>
      <c r="B14" s="2"/>
      <c r="C14" s="2"/>
      <c r="D14" s="2"/>
      <c r="E14" s="2"/>
      <c r="F14" s="148"/>
      <c r="G14" s="168" t="s">
        <v>25</v>
      </c>
      <c r="H14" s="142">
        <f ca="1">D9*D4</f>
        <v>24.722590000000004</v>
      </c>
      <c r="I14" s="166"/>
      <c r="J14" s="169"/>
      <c r="K14" s="170"/>
      <c r="L14" s="170"/>
      <c r="M14" s="10"/>
      <c r="N14" s="10"/>
      <c r="O14" s="10"/>
      <c r="P14" s="167"/>
      <c r="Q14" s="10"/>
      <c r="R14" s="10"/>
      <c r="S14" s="10"/>
    </row>
    <row r="15" spans="1:19" ht="17.25" customHeight="1" x14ac:dyDescent="0.35">
      <c r="A15" s="10"/>
      <c r="B15" s="171" t="s">
        <v>15</v>
      </c>
      <c r="C15" s="136"/>
      <c r="D15" s="23">
        <v>40937</v>
      </c>
      <c r="E15" s="2"/>
      <c r="F15" s="148"/>
      <c r="G15" s="168" t="s">
        <v>24</v>
      </c>
      <c r="H15" s="142">
        <f>H11+H12</f>
        <v>103.93429899999998</v>
      </c>
      <c r="I15" s="166"/>
      <c r="J15" s="166"/>
      <c r="K15" s="10"/>
      <c r="L15" s="10"/>
      <c r="M15" s="10"/>
      <c r="N15" s="10"/>
      <c r="O15" s="10"/>
      <c r="P15" s="167"/>
      <c r="Q15" s="10"/>
      <c r="R15" s="10"/>
      <c r="S15" s="10"/>
    </row>
    <row r="16" spans="1:19" ht="17.25" customHeight="1" x14ac:dyDescent="0.3">
      <c r="D16" s="172"/>
      <c r="E16" s="172"/>
      <c r="F16" s="18"/>
      <c r="G16" s="168" t="s">
        <v>26</v>
      </c>
      <c r="H16" s="142">
        <f ca="1">SUM(H14:H15)</f>
        <v>128.65688899999998</v>
      </c>
      <c r="J16"/>
      <c r="K16" s="173"/>
      <c r="L16" s="173"/>
    </row>
    <row r="17" spans="1:19" ht="14.25" customHeight="1" x14ac:dyDescent="0.35">
      <c r="B17" s="174" t="s">
        <v>37</v>
      </c>
      <c r="C17" s="175"/>
      <c r="D17" s="17"/>
      <c r="E17" s="17"/>
      <c r="I17" s="167"/>
      <c r="J17" s="167"/>
      <c r="K17" s="10"/>
      <c r="L17" s="10"/>
      <c r="M17" s="10"/>
      <c r="N17" s="10"/>
      <c r="O17" s="10"/>
      <c r="P17" s="167"/>
    </row>
    <row r="18" spans="1:19" ht="23.25" x14ac:dyDescent="0.35">
      <c r="A18" s="10"/>
      <c r="B18" s="172" t="s">
        <v>16</v>
      </c>
      <c r="D18" s="11"/>
      <c r="E18" s="17"/>
      <c r="F18" s="17"/>
      <c r="G18" s="176">
        <f ca="1">TODAY()</f>
        <v>45749</v>
      </c>
      <c r="H18" s="177"/>
      <c r="I18"/>
      <c r="J18"/>
      <c r="N18" s="10"/>
      <c r="O18" s="10"/>
      <c r="P18" s="167"/>
      <c r="Q18" s="10"/>
      <c r="R18" s="10"/>
      <c r="S18" s="10"/>
    </row>
    <row r="19" spans="1:19" ht="23.25" x14ac:dyDescent="0.35">
      <c r="A19" s="10"/>
      <c r="B19" s="172" t="s">
        <v>97</v>
      </c>
      <c r="D19" s="11">
        <v>1044</v>
      </c>
      <c r="G19" s="178"/>
      <c r="H19" s="177"/>
      <c r="M19" s="13"/>
      <c r="N19" s="10"/>
      <c r="O19" s="10"/>
      <c r="P19" s="167"/>
      <c r="Q19" s="10"/>
      <c r="R19" s="10"/>
      <c r="S19" s="10"/>
    </row>
    <row r="20" spans="1:19" ht="23.25" x14ac:dyDescent="0.35">
      <c r="A20" s="10"/>
      <c r="B20" s="172" t="s">
        <v>31</v>
      </c>
      <c r="D20" s="11"/>
      <c r="M20" s="13"/>
      <c r="N20" s="10"/>
      <c r="O20" s="10"/>
      <c r="P20" s="167"/>
      <c r="Q20" s="10"/>
      <c r="R20" s="10"/>
      <c r="S20" s="10"/>
    </row>
    <row r="21" spans="1:19" ht="24.75" customHeight="1" x14ac:dyDescent="0.25">
      <c r="B21" s="1" t="s">
        <v>98</v>
      </c>
      <c r="C21" s="12"/>
      <c r="D21" s="172"/>
      <c r="M21" s="13"/>
    </row>
    <row r="22" spans="1:19" x14ac:dyDescent="0.25">
      <c r="B22" s="179" t="s">
        <v>27</v>
      </c>
      <c r="D22" s="180">
        <f ca="1">I13</f>
        <v>0.95011676470588236</v>
      </c>
      <c r="M22" s="13"/>
    </row>
    <row r="23" spans="1:19" ht="17.25" customHeight="1" x14ac:dyDescent="0.25">
      <c r="B23" s="181" t="s">
        <v>5</v>
      </c>
      <c r="D23" s="165">
        <f>H13</f>
        <v>16.151985</v>
      </c>
      <c r="M23" s="13"/>
    </row>
    <row r="24" spans="1:19" ht="17.25" customHeight="1" x14ac:dyDescent="0.25">
      <c r="B24" s="141" t="s">
        <v>29</v>
      </c>
      <c r="D24" s="180">
        <f ca="1">H14</f>
        <v>24.722590000000004</v>
      </c>
      <c r="M24" s="13"/>
    </row>
    <row r="25" spans="1:19" ht="17.25" customHeight="1" x14ac:dyDescent="0.25">
      <c r="B25" s="182" t="s">
        <v>30</v>
      </c>
      <c r="D25" s="180">
        <f>H15</f>
        <v>103.93429899999998</v>
      </c>
      <c r="M25" s="13"/>
    </row>
    <row r="26" spans="1:19" ht="21" customHeight="1" x14ac:dyDescent="0.25">
      <c r="B26" s="183" t="s">
        <v>28</v>
      </c>
      <c r="D26" s="184">
        <f ca="1">(D18+D19+D20)+D23-(D24+D25)</f>
        <v>931.49509599999999</v>
      </c>
    </row>
    <row r="27" spans="1:19" ht="18.75" x14ac:dyDescent="0.3">
      <c r="B27" s="173">
        <f ca="1">J11</f>
        <v>5.1636655294117642</v>
      </c>
      <c r="C27"/>
      <c r="D27" s="22"/>
      <c r="G27" s="185"/>
    </row>
    <row r="28" spans="1:19" ht="18.75" x14ac:dyDescent="0.3">
      <c r="B28" s="173" t="s">
        <v>17</v>
      </c>
      <c r="G28" s="130"/>
    </row>
    <row r="29" spans="1:19" x14ac:dyDescent="0.25">
      <c r="G29" s="130"/>
    </row>
    <row r="30" spans="1:19" x14ac:dyDescent="0.25">
      <c r="G30" s="130"/>
    </row>
    <row r="37" spans="2:6" ht="15" x14ac:dyDescent="0.25">
      <c r="B37" s="13"/>
      <c r="C37" s="13"/>
      <c r="D37" s="13"/>
      <c r="E37" s="13"/>
      <c r="F37" s="19"/>
    </row>
    <row r="38" spans="2:6" ht="15" x14ac:dyDescent="0.25">
      <c r="B38" s="14"/>
      <c r="C38" s="14"/>
      <c r="D38" s="14"/>
      <c r="E38" s="16"/>
      <c r="F38" s="20"/>
    </row>
    <row r="39" spans="2:6" ht="15" x14ac:dyDescent="0.25">
      <c r="B39" s="13"/>
      <c r="C39" s="13"/>
      <c r="D39" s="13"/>
      <c r="E39" s="13"/>
      <c r="F39" s="19"/>
    </row>
    <row r="40" spans="2:6" ht="15" x14ac:dyDescent="0.25">
      <c r="B40" s="14"/>
      <c r="C40" s="14"/>
      <c r="D40" s="14"/>
      <c r="E40" s="16"/>
      <c r="F40" s="20"/>
    </row>
  </sheetData>
  <sheetProtection sheet="1" selectLockedCells="1"/>
  <mergeCells count="1">
    <mergeCell ref="E5:E7"/>
  </mergeCells>
  <conditionalFormatting sqref="D18:D19">
    <cfRule type="cellIs" dxfId="47" priority="80" stopIfTrue="1" operator="lessThan">
      <formula>-1</formula>
    </cfRule>
    <cfRule type="cellIs" dxfId="46" priority="81" stopIfTrue="1" operator="greaterThan">
      <formula>1</formula>
    </cfRule>
    <cfRule type="cellIs" dxfId="45" priority="82" stopIfTrue="1" operator="greaterThan">
      <formula>1</formula>
    </cfRule>
    <cfRule type="cellIs" dxfId="44" priority="83" stopIfTrue="1" operator="lessThan">
      <formula>-1</formula>
    </cfRule>
    <cfRule type="cellIs" dxfId="43" priority="84" stopIfTrue="1" operator="lessThan">
      <formula>-329.23</formula>
    </cfRule>
    <cfRule type="cellIs" dxfId="42" priority="85" stopIfTrue="1" operator="greaterThan">
      <formula>1</formula>
    </cfRule>
  </conditionalFormatting>
  <conditionalFormatting sqref="D20">
    <cfRule type="cellIs" dxfId="41" priority="74" stopIfTrue="1" operator="lessThan">
      <formula>-1</formula>
    </cfRule>
    <cfRule type="cellIs" dxfId="40" priority="75" stopIfTrue="1" operator="greaterThan">
      <formula>1</formula>
    </cfRule>
    <cfRule type="cellIs" dxfId="39" priority="76" stopIfTrue="1" operator="greaterThan">
      <formula>1</formula>
    </cfRule>
    <cfRule type="cellIs" dxfId="38" priority="77" stopIfTrue="1" operator="lessThan">
      <formula>-1</formula>
    </cfRule>
    <cfRule type="cellIs" dxfId="37" priority="78" stopIfTrue="1" operator="lessThan">
      <formula>-329.23</formula>
    </cfRule>
    <cfRule type="cellIs" dxfId="36" priority="79" stopIfTrue="1" operator="greaterThan">
      <formula>1</formula>
    </cfRule>
  </conditionalFormatting>
  <conditionalFormatting sqref="K27:L27">
    <cfRule type="cellIs" dxfId="35" priority="46" stopIfTrue="1" operator="greaterThan">
      <formula>13.53</formula>
    </cfRule>
  </conditionalFormatting>
  <conditionalFormatting sqref="B27:B28">
    <cfRule type="cellIs" dxfId="34" priority="35" stopIfTrue="1" operator="greaterThan">
      <formula>0.01</formula>
    </cfRule>
  </conditionalFormatting>
  <conditionalFormatting sqref="K16:L16">
    <cfRule type="cellIs" dxfId="33" priority="34" stopIfTrue="1" operator="greaterThan">
      <formula>0.01</formula>
    </cfRule>
  </conditionalFormatting>
  <conditionalFormatting sqref="F10:F15">
    <cfRule type="cellIs" dxfId="32" priority="18" operator="lessThan">
      <formula>-1</formula>
    </cfRule>
    <cfRule type="cellIs" dxfId="31" priority="19" operator="greaterThan">
      <formula>1</formula>
    </cfRule>
  </conditionalFormatting>
  <conditionalFormatting sqref="D24">
    <cfRule type="cellIs" dxfId="30" priority="7" stopIfTrue="1" operator="greaterThan">
      <formula>1</formula>
    </cfRule>
  </conditionalFormatting>
  <conditionalFormatting sqref="D23">
    <cfRule type="cellIs" dxfId="29" priority="6" stopIfTrue="1" operator="greaterThan">
      <formula>1</formula>
    </cfRule>
  </conditionalFormatting>
  <conditionalFormatting sqref="D22">
    <cfRule type="cellIs" dxfId="28" priority="5" stopIfTrue="1" operator="greaterThan">
      <formula>1</formula>
    </cfRule>
  </conditionalFormatting>
  <conditionalFormatting sqref="D25">
    <cfRule type="cellIs" dxfId="27" priority="4" stopIfTrue="1" operator="greaterThan">
      <formula>1</formula>
    </cfRule>
  </conditionalFormatting>
  <conditionalFormatting sqref="D26">
    <cfRule type="cellIs" dxfId="26" priority="2" stopIfTrue="1" operator="lessThan">
      <formula>-1</formula>
    </cfRule>
    <cfRule type="cellIs" dxfId="25" priority="3" stopIfTrue="1" operator="greaterThan">
      <formula>1</formula>
    </cfRule>
  </conditionalFormatting>
  <conditionalFormatting sqref="J11">
    <cfRule type="cellIs" dxfId="24" priority="1" operator="greaterThan">
      <formula>1</formula>
    </cfRule>
  </conditionalFormatting>
  <pageMargins left="0.25" right="0.25" top="0.75" bottom="0.75" header="0.3" footer="0.3"/>
  <pageSetup paperSize="9" scale="7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376" r:id="rId4" name="Button 104">
              <controlPr locked="0" defaultSize="0" print="0" autoFill="0" autoPict="0" macro="[0]!Year_24_25">
                <anchor moveWithCells="1" sizeWithCells="1">
                  <from>
                    <xdr:col>8</xdr:col>
                    <xdr:colOff>390525</xdr:colOff>
                    <xdr:row>5</xdr:row>
                    <xdr:rowOff>9525</xdr:rowOff>
                  </from>
                  <to>
                    <xdr:col>9</xdr:col>
                    <xdr:colOff>1066800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79" r:id="rId5" name="Button 107">
              <controlPr locked="0" defaultSize="0" print="0" autoFill="0" autoPict="0" macro="[0]!Year_25_26">
                <anchor moveWithCells="1" sizeWithCells="1">
                  <from>
                    <xdr:col>8</xdr:col>
                    <xdr:colOff>381000</xdr:colOff>
                    <xdr:row>7</xdr:row>
                    <xdr:rowOff>47625</xdr:rowOff>
                  </from>
                  <to>
                    <xdr:col>9</xdr:col>
                    <xdr:colOff>1066800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80" r:id="rId6" name="Button 108">
              <controlPr locked="0" defaultSize="0" print="0" autoFill="0" autoPict="0" macro="[0]!year23_24">
                <anchor moveWithCells="1" sizeWithCells="1">
                  <from>
                    <xdr:col>8</xdr:col>
                    <xdr:colOff>390525</xdr:colOff>
                    <xdr:row>2</xdr:row>
                    <xdr:rowOff>152400</xdr:rowOff>
                  </from>
                  <to>
                    <xdr:col>9</xdr:col>
                    <xdr:colOff>1066800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89" r:id="rId7" name="Button 117">
              <controlPr locked="0" defaultSize="0" print="0" autoFill="0" autoPict="0" macro="[0]!Solar_44">
                <anchor moveWithCells="1">
                  <from>
                    <xdr:col>8</xdr:col>
                    <xdr:colOff>466725</xdr:colOff>
                    <xdr:row>13</xdr:row>
                    <xdr:rowOff>190500</xdr:rowOff>
                  </from>
                  <to>
                    <xdr:col>9</xdr:col>
                    <xdr:colOff>1143000</xdr:colOff>
                    <xdr:row>17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1D630-B625-48FC-8296-75E93C851281}">
  <sheetPr codeName="Sheet2"/>
  <dimension ref="A1:W33"/>
  <sheetViews>
    <sheetView workbookViewId="0">
      <selection activeCell="X11" sqref="X11"/>
    </sheetView>
  </sheetViews>
  <sheetFormatPr defaultRowHeight="15" x14ac:dyDescent="0.25"/>
  <cols>
    <col min="2" max="2" width="11.28515625" customWidth="1"/>
    <col min="9" max="10" width="11.140625" customWidth="1"/>
    <col min="11" max="12" width="11.28515625" customWidth="1"/>
    <col min="13" max="14" width="10.85546875" customWidth="1"/>
    <col min="23" max="23" width="18.28515625" customWidth="1"/>
  </cols>
  <sheetData>
    <row r="1" spans="1:23" x14ac:dyDescent="0.25">
      <c r="B1" t="s">
        <v>135</v>
      </c>
    </row>
    <row r="2" spans="1:23" ht="10.5" customHeight="1" thickBot="1" x14ac:dyDescent="0.3"/>
    <row r="3" spans="1:23" s="64" customFormat="1" ht="70.5" customHeight="1" thickBot="1" x14ac:dyDescent="0.3">
      <c r="A3" s="120"/>
      <c r="B3" s="121" t="s">
        <v>99</v>
      </c>
      <c r="C3" s="121" t="s">
        <v>100</v>
      </c>
      <c r="D3" s="121" t="s">
        <v>101</v>
      </c>
      <c r="E3" s="121" t="s">
        <v>102</v>
      </c>
      <c r="F3" s="121" t="s">
        <v>103</v>
      </c>
      <c r="G3" s="121" t="s">
        <v>104</v>
      </c>
      <c r="H3" s="121" t="s">
        <v>105</v>
      </c>
      <c r="I3" s="122" t="s">
        <v>106</v>
      </c>
      <c r="J3" s="123" t="s">
        <v>126</v>
      </c>
      <c r="K3" s="124" t="s">
        <v>107</v>
      </c>
      <c r="L3" s="123" t="s">
        <v>126</v>
      </c>
      <c r="M3" s="125" t="s">
        <v>110</v>
      </c>
      <c r="N3" s="123" t="s">
        <v>127</v>
      </c>
      <c r="O3" s="124" t="s">
        <v>108</v>
      </c>
      <c r="P3" s="126" t="s">
        <v>109</v>
      </c>
      <c r="Q3" s="127" t="s">
        <v>131</v>
      </c>
      <c r="R3" s="125" t="s">
        <v>111</v>
      </c>
      <c r="S3" s="128" t="s">
        <v>112</v>
      </c>
      <c r="T3" s="88" t="s">
        <v>113</v>
      </c>
      <c r="U3" s="89" t="s">
        <v>114</v>
      </c>
      <c r="V3" s="90" t="s">
        <v>115</v>
      </c>
    </row>
    <row r="4" spans="1:23" x14ac:dyDescent="0.25">
      <c r="A4" s="31"/>
      <c r="B4" s="77">
        <v>45559</v>
      </c>
      <c r="C4" s="78">
        <f>DATEDIF(B4,B6,"d")</f>
        <v>83</v>
      </c>
      <c r="D4" s="91">
        <v>1125.6300000000001</v>
      </c>
      <c r="E4" s="79">
        <f>1.24245*1.1</f>
        <v>1.3666950000000002</v>
      </c>
      <c r="F4" s="79">
        <f>0.03709*1.1</f>
        <v>4.0799000000000002E-2</v>
      </c>
      <c r="G4" s="80">
        <v>0.05</v>
      </c>
      <c r="H4" s="81">
        <f>E4+F4+G4*1.1</f>
        <v>1.4624940000000002</v>
      </c>
      <c r="I4" s="32">
        <v>689.5</v>
      </c>
      <c r="J4" s="76">
        <f>I4/C4</f>
        <v>8.30722891566265</v>
      </c>
      <c r="K4" s="33">
        <v>1342.28</v>
      </c>
      <c r="L4" s="76">
        <f>K4/C4</f>
        <v>16.172048192771083</v>
      </c>
      <c r="M4" s="34">
        <v>1515.38</v>
      </c>
      <c r="N4" s="92">
        <f>M4/C4</f>
        <v>18.257590361445786</v>
      </c>
      <c r="O4" s="93"/>
      <c r="P4" s="93"/>
      <c r="Q4" s="93"/>
      <c r="R4" s="93"/>
      <c r="S4" s="94"/>
      <c r="T4" s="35">
        <f>I4</f>
        <v>689.5</v>
      </c>
      <c r="U4" s="35">
        <f>K4</f>
        <v>1342.28</v>
      </c>
      <c r="V4" s="36">
        <f>M4</f>
        <v>1515.38</v>
      </c>
      <c r="W4" s="3" t="s">
        <v>116</v>
      </c>
    </row>
    <row r="5" spans="1:23" ht="15.75" thickBot="1" x14ac:dyDescent="0.3">
      <c r="A5" s="31"/>
      <c r="B5" s="95"/>
      <c r="C5" s="96"/>
      <c r="D5" s="96"/>
      <c r="E5" s="96" t="s">
        <v>117</v>
      </c>
      <c r="F5" s="96"/>
      <c r="G5" s="96"/>
      <c r="H5" s="96"/>
      <c r="I5" s="97">
        <f>(I4*0.30972)*1.1</f>
        <v>234.90713400000001</v>
      </c>
      <c r="J5" s="96"/>
      <c r="K5" s="99">
        <f>(K4*0.19185)*1.1</f>
        <v>283.2680598</v>
      </c>
      <c r="L5" s="96"/>
      <c r="M5" s="100">
        <f>M4*E32</f>
        <v>666.7672</v>
      </c>
      <c r="N5" s="96"/>
      <c r="O5" s="99">
        <f>(E4+F4+G4)*C4</f>
        <v>120.97200200000002</v>
      </c>
      <c r="P5" s="101">
        <f>I5+K5+O5</f>
        <v>639.14719579999996</v>
      </c>
      <c r="Q5" s="102">
        <v>75</v>
      </c>
      <c r="R5" s="100">
        <f>P5-M5</f>
        <v>-27.620004200000039</v>
      </c>
      <c r="S5" s="103">
        <f>D4+Q5-R5</f>
        <v>1228.2500042000001</v>
      </c>
      <c r="T5" s="71">
        <v>54.5</v>
      </c>
      <c r="U5" s="37">
        <v>131.28</v>
      </c>
      <c r="V5" s="38">
        <v>92.38</v>
      </c>
      <c r="W5" s="3"/>
    </row>
    <row r="6" spans="1:23" x14ac:dyDescent="0.25">
      <c r="A6" s="39"/>
      <c r="B6" s="104">
        <v>45642</v>
      </c>
      <c r="C6" s="105">
        <f>DATEDIF(B6,B8,"d")</f>
        <v>31</v>
      </c>
      <c r="D6" s="106">
        <f>S5</f>
        <v>1228.2500042000001</v>
      </c>
      <c r="E6" s="107">
        <f>1.24245*1.1</f>
        <v>1.3666950000000002</v>
      </c>
      <c r="F6" s="108">
        <f>0.03372*1.1</f>
        <v>3.7092E-2</v>
      </c>
      <c r="G6" s="109">
        <v>1.5483E-2</v>
      </c>
      <c r="H6" s="109">
        <f>E6+F6+G6*1.1</f>
        <v>1.4208183000000001</v>
      </c>
      <c r="I6" s="110">
        <v>265.39</v>
      </c>
      <c r="J6" s="98">
        <f t="shared" ref="J6:J29" si="0">I6/C6</f>
        <v>8.5609677419354835</v>
      </c>
      <c r="K6" s="47">
        <v>711.67</v>
      </c>
      <c r="L6" s="98">
        <f t="shared" ref="L6:L29" si="1">K6/C6</f>
        <v>22.957096774193548</v>
      </c>
      <c r="M6" s="48">
        <v>489.85</v>
      </c>
      <c r="N6" s="111">
        <f t="shared" ref="N6:N29" si="2">M6/C6</f>
        <v>15.801612903225807</v>
      </c>
      <c r="O6" s="96"/>
      <c r="P6" s="96"/>
      <c r="Q6" s="96"/>
      <c r="R6" s="96"/>
      <c r="S6" s="112"/>
      <c r="T6" s="72">
        <f>I6</f>
        <v>265.39</v>
      </c>
      <c r="U6" s="40">
        <f>K6</f>
        <v>711.67</v>
      </c>
      <c r="V6" s="41">
        <f>M6</f>
        <v>489.85</v>
      </c>
      <c r="W6" s="3"/>
    </row>
    <row r="7" spans="1:23" ht="15.75" thickBot="1" x14ac:dyDescent="0.3">
      <c r="A7" s="39"/>
      <c r="B7" s="95"/>
      <c r="C7" s="96"/>
      <c r="D7" s="96"/>
      <c r="E7" s="96"/>
      <c r="F7" s="96"/>
      <c r="G7" s="96"/>
      <c r="H7" s="96"/>
      <c r="I7" s="97">
        <f>(I6*0.30972)*1.1</f>
        <v>90.416249880000009</v>
      </c>
      <c r="J7" s="96"/>
      <c r="K7" s="99">
        <f>(K6*0.19185)*1.1</f>
        <v>150.18727845000001</v>
      </c>
      <c r="L7" s="96"/>
      <c r="M7" s="100">
        <f>M6*E32</f>
        <v>215.53400000000002</v>
      </c>
      <c r="N7" s="96"/>
      <c r="O7" s="99">
        <f>(E6+F6+G6)*C6</f>
        <v>43.997370000000004</v>
      </c>
      <c r="P7" s="101">
        <f>I7+K7+O7</f>
        <v>284.60089833000001</v>
      </c>
      <c r="Q7" s="102">
        <v>75</v>
      </c>
      <c r="R7" s="100">
        <f>P7-M7</f>
        <v>69.066898329999987</v>
      </c>
      <c r="S7" s="103">
        <f>D8</f>
        <v>1234.1831058700002</v>
      </c>
      <c r="T7" s="73"/>
      <c r="U7" s="42"/>
      <c r="V7" s="43"/>
      <c r="W7" s="3"/>
    </row>
    <row r="8" spans="1:23" x14ac:dyDescent="0.25">
      <c r="A8" s="187">
        <v>2025</v>
      </c>
      <c r="B8" s="104">
        <v>45673</v>
      </c>
      <c r="C8" s="105">
        <f>DATEDIF(B8,B10,"d")</f>
        <v>31</v>
      </c>
      <c r="D8" s="106">
        <f>D6-R7+Q7</f>
        <v>1234.1831058700002</v>
      </c>
      <c r="E8" s="107">
        <f>1.24245*1.1</f>
        <v>1.3666950000000002</v>
      </c>
      <c r="F8" s="108">
        <f>0.03372*1.1</f>
        <v>3.7092E-2</v>
      </c>
      <c r="G8" s="109">
        <v>1.5483E-2</v>
      </c>
      <c r="H8" s="109">
        <f>E8+F8+G8*1.1</f>
        <v>1.4208183000000001</v>
      </c>
      <c r="I8" s="110">
        <v>316.05</v>
      </c>
      <c r="J8" s="98">
        <f t="shared" si="0"/>
        <v>10.195161290322581</v>
      </c>
      <c r="K8" s="47">
        <v>735.49</v>
      </c>
      <c r="L8" s="98">
        <f t="shared" si="1"/>
        <v>23.725483870967743</v>
      </c>
      <c r="M8" s="48">
        <v>308.31</v>
      </c>
      <c r="N8" s="111">
        <f t="shared" si="2"/>
        <v>9.9454838709677418</v>
      </c>
      <c r="O8" s="96"/>
      <c r="P8" s="96"/>
      <c r="Q8" s="96"/>
      <c r="R8" s="96"/>
      <c r="S8" s="112"/>
      <c r="T8" s="72">
        <f>I8</f>
        <v>316.05</v>
      </c>
      <c r="U8" s="40">
        <f>K8</f>
        <v>735.49</v>
      </c>
      <c r="V8" s="41">
        <f>M8</f>
        <v>308.31</v>
      </c>
      <c r="W8" s="3"/>
    </row>
    <row r="9" spans="1:23" ht="15.75" thickBot="1" x14ac:dyDescent="0.3">
      <c r="A9" s="187"/>
      <c r="B9" s="95"/>
      <c r="C9" s="96"/>
      <c r="D9" s="96"/>
      <c r="E9" s="96"/>
      <c r="F9" s="96"/>
      <c r="G9" s="96"/>
      <c r="H9" s="96"/>
      <c r="I9" s="97">
        <f>(I8*0.30972)*1.1</f>
        <v>107.67570660000001</v>
      </c>
      <c r="J9" s="96"/>
      <c r="K9" s="99">
        <f>(K8*0.19185)*1.1</f>
        <v>155.21413215000001</v>
      </c>
      <c r="L9" s="96"/>
      <c r="M9" s="100">
        <f>M8*E32</f>
        <v>135.65639999999999</v>
      </c>
      <c r="N9" s="96"/>
      <c r="O9" s="99">
        <f>(E8+F8+G8)*C8</f>
        <v>43.997370000000004</v>
      </c>
      <c r="P9" s="101">
        <f>I9+K9+O9</f>
        <v>306.88720875000001</v>
      </c>
      <c r="Q9" s="102"/>
      <c r="R9" s="100">
        <f>P9-M9</f>
        <v>171.23080875000002</v>
      </c>
      <c r="S9" s="103">
        <f>D10</f>
        <v>1062.9522971200001</v>
      </c>
      <c r="T9" s="73"/>
      <c r="U9" s="42"/>
      <c r="V9" s="43"/>
      <c r="W9" s="3"/>
    </row>
    <row r="10" spans="1:23" x14ac:dyDescent="0.25">
      <c r="A10" s="70"/>
      <c r="B10" s="104">
        <v>45704</v>
      </c>
      <c r="C10" s="105">
        <f>DATEDIF(B10,B12,"d")</f>
        <v>28</v>
      </c>
      <c r="D10" s="106">
        <f>D8-R9+Q9</f>
        <v>1062.9522971200001</v>
      </c>
      <c r="E10" s="107">
        <f>1.24245*1.1</f>
        <v>1.3666950000000002</v>
      </c>
      <c r="F10" s="108">
        <f>0.03372*1.1</f>
        <v>3.7092E-2</v>
      </c>
      <c r="G10" s="109">
        <v>1.5483E-2</v>
      </c>
      <c r="H10" s="109">
        <f>E10+F10+G10*1.1</f>
        <v>1.4208183000000001</v>
      </c>
      <c r="I10" s="110">
        <v>185.16</v>
      </c>
      <c r="J10" s="98">
        <f t="shared" si="0"/>
        <v>6.612857142857143</v>
      </c>
      <c r="K10" s="47">
        <v>631.22</v>
      </c>
      <c r="L10" s="98">
        <f t="shared" si="1"/>
        <v>22.543571428571429</v>
      </c>
      <c r="M10" s="48">
        <v>493.55</v>
      </c>
      <c r="N10" s="111">
        <f t="shared" si="2"/>
        <v>17.626785714285713</v>
      </c>
      <c r="O10" s="96"/>
      <c r="P10" s="96"/>
      <c r="Q10" s="96"/>
      <c r="R10" s="96"/>
      <c r="S10" s="112"/>
      <c r="T10" s="72">
        <f>I10</f>
        <v>185.16</v>
      </c>
      <c r="U10" s="40">
        <f>K10</f>
        <v>631.22</v>
      </c>
      <c r="V10" s="41">
        <f>M10</f>
        <v>493.55</v>
      </c>
      <c r="W10" s="3"/>
    </row>
    <row r="11" spans="1:23" ht="15.75" thickBot="1" x14ac:dyDescent="0.3">
      <c r="A11" s="70"/>
      <c r="B11" s="95"/>
      <c r="C11" s="96"/>
      <c r="D11" s="96"/>
      <c r="E11" s="96"/>
      <c r="F11" s="96"/>
      <c r="G11" s="96"/>
      <c r="H11" s="96"/>
      <c r="I11" s="97">
        <f>(I10*0.30972)*1.1</f>
        <v>63.082530720000001</v>
      </c>
      <c r="J11" s="96"/>
      <c r="K11" s="99">
        <f>(K10*0.19185)*1.1</f>
        <v>133.2095127</v>
      </c>
      <c r="L11" s="96"/>
      <c r="M11" s="100">
        <f>M10*E32</f>
        <v>217.16200000000001</v>
      </c>
      <c r="N11" s="96"/>
      <c r="O11" s="99">
        <f>(E10+F10+G10)*C10</f>
        <v>39.739559999999997</v>
      </c>
      <c r="P11" s="101">
        <f>I11+K11+O11</f>
        <v>236.03160342000001</v>
      </c>
      <c r="Q11" s="102">
        <v>25</v>
      </c>
      <c r="R11" s="100">
        <f>P11-M11</f>
        <v>18.869603420000004</v>
      </c>
      <c r="S11" s="103">
        <f>D12</f>
        <v>1069.0826937000002</v>
      </c>
      <c r="T11" s="73"/>
      <c r="U11" s="42"/>
      <c r="V11" s="43"/>
      <c r="W11" s="3"/>
    </row>
    <row r="12" spans="1:23" x14ac:dyDescent="0.25">
      <c r="A12" s="39"/>
      <c r="B12" s="104">
        <v>45732</v>
      </c>
      <c r="C12" s="105">
        <f>DATEDIF(B12,B14,"d")</f>
        <v>31</v>
      </c>
      <c r="D12" s="106">
        <f>D10-R11+Q11</f>
        <v>1069.0826937000002</v>
      </c>
      <c r="E12" s="107">
        <f>1.24245*1.1</f>
        <v>1.3666950000000002</v>
      </c>
      <c r="F12" s="108">
        <f>0.03372*1.1</f>
        <v>3.7092E-2</v>
      </c>
      <c r="G12" s="109">
        <v>1.5483E-2</v>
      </c>
      <c r="H12" s="109">
        <f>E12+F12+G12*1.1</f>
        <v>1.4208183000000001</v>
      </c>
      <c r="I12" s="110"/>
      <c r="J12" s="98">
        <f t="shared" si="0"/>
        <v>0</v>
      </c>
      <c r="K12" s="47"/>
      <c r="L12" s="98">
        <f t="shared" si="1"/>
        <v>0</v>
      </c>
      <c r="M12" s="48"/>
      <c r="N12" s="111">
        <f t="shared" si="2"/>
        <v>0</v>
      </c>
      <c r="O12" s="96"/>
      <c r="P12" s="96"/>
      <c r="Q12" s="96"/>
      <c r="R12" s="96"/>
      <c r="S12" s="112"/>
      <c r="T12" s="72">
        <f>I12</f>
        <v>0</v>
      </c>
      <c r="U12" s="40">
        <f>K12</f>
        <v>0</v>
      </c>
      <c r="V12" s="41">
        <f>M12</f>
        <v>0</v>
      </c>
      <c r="W12" s="3"/>
    </row>
    <row r="13" spans="1:23" ht="15.75" thickBot="1" x14ac:dyDescent="0.3">
      <c r="A13" s="39"/>
      <c r="B13" s="95"/>
      <c r="C13" s="96"/>
      <c r="D13" s="96"/>
      <c r="E13" s="96"/>
      <c r="F13" s="96"/>
      <c r="G13" s="96"/>
      <c r="H13" s="96"/>
      <c r="I13" s="97">
        <f>(I12*0.30972)*1.1</f>
        <v>0</v>
      </c>
      <c r="J13" s="96"/>
      <c r="K13" s="99">
        <f>(K12*0.19185)*1.1</f>
        <v>0</v>
      </c>
      <c r="L13" s="96"/>
      <c r="M13" s="100">
        <f>M12*E32</f>
        <v>0</v>
      </c>
      <c r="N13" s="96"/>
      <c r="O13" s="99">
        <f>(E12+F12+G12)*C12</f>
        <v>43.997370000000004</v>
      </c>
      <c r="P13" s="101">
        <f>I13+K13+O13</f>
        <v>43.997370000000004</v>
      </c>
      <c r="Q13" s="102"/>
      <c r="R13" s="100">
        <f>P13-M13</f>
        <v>43.997370000000004</v>
      </c>
      <c r="S13" s="103">
        <f>D14</f>
        <v>1025.0853237000001</v>
      </c>
      <c r="T13" s="73"/>
      <c r="U13" s="42"/>
      <c r="V13" s="43"/>
      <c r="W13" s="3"/>
    </row>
    <row r="14" spans="1:23" x14ac:dyDescent="0.25">
      <c r="A14" s="39"/>
      <c r="B14" s="104">
        <v>45763</v>
      </c>
      <c r="C14" s="105">
        <f>DATEDIF(B14,B16,"d")</f>
        <v>30</v>
      </c>
      <c r="D14" s="106">
        <f>D12-R13+Q13</f>
        <v>1025.0853237000001</v>
      </c>
      <c r="E14" s="107">
        <f>1.24245*1.1</f>
        <v>1.3666950000000002</v>
      </c>
      <c r="F14" s="108">
        <f>0.03372*1.1</f>
        <v>3.7092E-2</v>
      </c>
      <c r="G14" s="109">
        <v>1.5483E-2</v>
      </c>
      <c r="H14" s="109">
        <f>E14+F14+G14*1.1</f>
        <v>1.4208183000000001</v>
      </c>
      <c r="I14" s="110"/>
      <c r="J14" s="98">
        <f t="shared" si="0"/>
        <v>0</v>
      </c>
      <c r="K14" s="47"/>
      <c r="L14" s="98">
        <f t="shared" si="1"/>
        <v>0</v>
      </c>
      <c r="M14" s="48"/>
      <c r="N14" s="111">
        <f t="shared" si="2"/>
        <v>0</v>
      </c>
      <c r="O14" s="96"/>
      <c r="P14" s="96"/>
      <c r="Q14" s="96"/>
      <c r="R14" s="96"/>
      <c r="S14" s="112"/>
      <c r="T14" s="72">
        <f>I14</f>
        <v>0</v>
      </c>
      <c r="U14" s="40">
        <f>K14</f>
        <v>0</v>
      </c>
      <c r="V14" s="41">
        <f>M14</f>
        <v>0</v>
      </c>
      <c r="W14" s="3"/>
    </row>
    <row r="15" spans="1:23" ht="15.75" thickBot="1" x14ac:dyDescent="0.3">
      <c r="A15" s="39"/>
      <c r="B15" s="95"/>
      <c r="C15" s="96"/>
      <c r="D15" s="96"/>
      <c r="E15" s="96"/>
      <c r="F15" s="96"/>
      <c r="G15" s="96"/>
      <c r="H15" s="96"/>
      <c r="I15" s="97">
        <f>(I14*0.30972)*1.1</f>
        <v>0</v>
      </c>
      <c r="J15" s="96"/>
      <c r="K15" s="99">
        <f>(K14*0.19185)*1.1</f>
        <v>0</v>
      </c>
      <c r="L15" s="96"/>
      <c r="M15" s="100">
        <f>M14*E32</f>
        <v>0</v>
      </c>
      <c r="N15" s="96"/>
      <c r="O15" s="99">
        <f>(E14+F14+G14)*C14</f>
        <v>42.578099999999999</v>
      </c>
      <c r="P15" s="101">
        <f>I15+K15+O15</f>
        <v>42.578099999999999</v>
      </c>
      <c r="Q15" s="102"/>
      <c r="R15" s="100">
        <f>P15-M15</f>
        <v>42.578099999999999</v>
      </c>
      <c r="S15" s="103">
        <f>D16</f>
        <v>982.50722370000017</v>
      </c>
      <c r="T15" s="73"/>
      <c r="U15" s="42"/>
      <c r="V15" s="43"/>
      <c r="W15" s="3"/>
    </row>
    <row r="16" spans="1:23" x14ac:dyDescent="0.25">
      <c r="A16" s="39"/>
      <c r="B16" s="104">
        <v>45793</v>
      </c>
      <c r="C16" s="105">
        <f>DATEDIF(B16,B18,"d")</f>
        <v>31</v>
      </c>
      <c r="D16" s="106">
        <f>D14-R15+Q15</f>
        <v>982.50722370000017</v>
      </c>
      <c r="E16" s="107">
        <f>1.24245*1.1</f>
        <v>1.3666950000000002</v>
      </c>
      <c r="F16" s="108">
        <f>0.03372*1.1</f>
        <v>3.7092E-2</v>
      </c>
      <c r="G16" s="109">
        <v>1.5483E-2</v>
      </c>
      <c r="H16" s="109">
        <f>E16+F16+G16*1.1</f>
        <v>1.4208183000000001</v>
      </c>
      <c r="I16" s="110"/>
      <c r="J16" s="98">
        <f t="shared" si="0"/>
        <v>0</v>
      </c>
      <c r="K16" s="47"/>
      <c r="L16" s="98">
        <f t="shared" si="1"/>
        <v>0</v>
      </c>
      <c r="M16" s="48"/>
      <c r="N16" s="111">
        <f t="shared" si="2"/>
        <v>0</v>
      </c>
      <c r="O16" s="96"/>
      <c r="P16" s="96"/>
      <c r="Q16" s="96"/>
      <c r="R16" s="96"/>
      <c r="S16" s="112"/>
      <c r="T16" s="72">
        <f>I16</f>
        <v>0</v>
      </c>
      <c r="U16" s="40">
        <f>K16</f>
        <v>0</v>
      </c>
      <c r="V16" s="41">
        <f>M16</f>
        <v>0</v>
      </c>
      <c r="W16" s="3"/>
    </row>
    <row r="17" spans="1:23" ht="15.75" thickBot="1" x14ac:dyDescent="0.3">
      <c r="A17" s="39"/>
      <c r="B17" s="95"/>
      <c r="C17" s="96"/>
      <c r="D17" s="96"/>
      <c r="E17" s="96"/>
      <c r="F17" s="96"/>
      <c r="G17" s="96"/>
      <c r="H17" s="96"/>
      <c r="I17" s="97">
        <f>(I16*0.30972)*1.1</f>
        <v>0</v>
      </c>
      <c r="J17" s="96"/>
      <c r="K17" s="99">
        <f>(K16*0.19185)*1.1</f>
        <v>0</v>
      </c>
      <c r="L17" s="96"/>
      <c r="M17" s="100">
        <f>(M16*E32)</f>
        <v>0</v>
      </c>
      <c r="N17" s="96"/>
      <c r="O17" s="99">
        <f>(E16+F16+G16)*C16</f>
        <v>43.997370000000004</v>
      </c>
      <c r="P17" s="101">
        <f>I17+K17+O17</f>
        <v>43.997370000000004</v>
      </c>
      <c r="Q17" s="102"/>
      <c r="R17" s="100">
        <f>P17-M17</f>
        <v>43.997370000000004</v>
      </c>
      <c r="S17" s="103">
        <f>D18</f>
        <v>938.50985370000012</v>
      </c>
      <c r="T17" s="73"/>
      <c r="U17" s="42"/>
      <c r="V17" s="43"/>
      <c r="W17" s="3"/>
    </row>
    <row r="18" spans="1:23" x14ac:dyDescent="0.25">
      <c r="A18" s="39"/>
      <c r="B18" s="104">
        <v>45824</v>
      </c>
      <c r="C18" s="105">
        <f>DATEDIF(B18,B21,"d")</f>
        <v>15</v>
      </c>
      <c r="D18" s="106">
        <f>D16-R17+Q17</f>
        <v>938.50985370000012</v>
      </c>
      <c r="E18" s="107">
        <f>1.24245*1.1</f>
        <v>1.3666950000000002</v>
      </c>
      <c r="F18" s="108">
        <f>0.03372*1.1</f>
        <v>3.7092E-2</v>
      </c>
      <c r="G18" s="109">
        <v>1.5483E-2</v>
      </c>
      <c r="H18" s="109">
        <f>E18+F18+G18*1.1</f>
        <v>1.4208183000000001</v>
      </c>
      <c r="I18" s="110"/>
      <c r="J18" s="98">
        <f t="shared" si="0"/>
        <v>0</v>
      </c>
      <c r="K18" s="47"/>
      <c r="L18" s="98">
        <f t="shared" si="1"/>
        <v>0</v>
      </c>
      <c r="M18" s="48"/>
      <c r="N18" s="111">
        <f t="shared" si="2"/>
        <v>0</v>
      </c>
      <c r="O18" s="96"/>
      <c r="P18" s="96"/>
      <c r="Q18" s="96"/>
      <c r="R18" s="96"/>
      <c r="S18" s="112"/>
      <c r="T18" s="72">
        <f>I18</f>
        <v>0</v>
      </c>
      <c r="U18" s="40">
        <f>K18</f>
        <v>0</v>
      </c>
      <c r="V18" s="41">
        <f>M18</f>
        <v>0</v>
      </c>
      <c r="W18" s="3"/>
    </row>
    <row r="19" spans="1:23" ht="15.75" thickBot="1" x14ac:dyDescent="0.3">
      <c r="A19" s="39"/>
      <c r="B19" s="95"/>
      <c r="C19" s="96"/>
      <c r="D19" s="96"/>
      <c r="E19" s="96"/>
      <c r="F19" s="96"/>
      <c r="G19" s="96"/>
      <c r="H19" s="96"/>
      <c r="I19" s="97">
        <f>(I18*0.30972)*1.1</f>
        <v>0</v>
      </c>
      <c r="J19" s="96"/>
      <c r="K19" s="99">
        <f>(K18*0.19185)*1.1</f>
        <v>0</v>
      </c>
      <c r="L19" s="96"/>
      <c r="M19" s="100">
        <f>(M18*E32)</f>
        <v>0</v>
      </c>
      <c r="N19" s="96"/>
      <c r="O19" s="99">
        <f>(E18+F18+G18)*C18</f>
        <v>21.28905</v>
      </c>
      <c r="P19" s="101">
        <f>I19+K19+O19</f>
        <v>21.28905</v>
      </c>
      <c r="Q19" s="102"/>
      <c r="R19" s="100">
        <f>P19-M19</f>
        <v>21.28905</v>
      </c>
      <c r="S19" s="103">
        <f>D21</f>
        <v>917.22080370000015</v>
      </c>
      <c r="T19" s="73"/>
      <c r="U19" s="42"/>
      <c r="V19" s="43"/>
      <c r="W19" s="3"/>
    </row>
    <row r="20" spans="1:23" ht="8.25" customHeight="1" thickBot="1" x14ac:dyDescent="0.3">
      <c r="A20" s="39"/>
      <c r="B20" s="11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6"/>
      <c r="T20" s="117"/>
      <c r="U20" s="118"/>
      <c r="V20" s="119"/>
      <c r="W20" s="3"/>
    </row>
    <row r="21" spans="1:23" x14ac:dyDescent="0.25">
      <c r="A21" s="39"/>
      <c r="B21" s="104">
        <v>45839</v>
      </c>
      <c r="C21" s="105">
        <f>DATEDIF(B21,B23,"d")</f>
        <v>15</v>
      </c>
      <c r="D21" s="106">
        <f>D18-R19+Q19</f>
        <v>917.22080370000015</v>
      </c>
      <c r="E21" s="107">
        <f>1.50393*1.1</f>
        <v>1.6543230000000002</v>
      </c>
      <c r="F21" s="108">
        <f>0.15502*1.1</f>
        <v>0.17052200000000001</v>
      </c>
      <c r="G21" s="109">
        <f>0.23202*1.1</f>
        <v>0.255222</v>
      </c>
      <c r="H21" s="109">
        <f>E21+F21+G21*1.1</f>
        <v>2.1055892000000003</v>
      </c>
      <c r="I21" s="110"/>
      <c r="J21" s="98">
        <f t="shared" si="0"/>
        <v>0</v>
      </c>
      <c r="K21" s="47"/>
      <c r="L21" s="98">
        <f t="shared" si="1"/>
        <v>0</v>
      </c>
      <c r="M21" s="48"/>
      <c r="N21" s="111">
        <f t="shared" si="2"/>
        <v>0</v>
      </c>
      <c r="O21" s="96"/>
      <c r="P21" s="96"/>
      <c r="Q21" s="96"/>
      <c r="R21" s="96"/>
      <c r="S21" s="112"/>
      <c r="T21" s="72">
        <f>I21</f>
        <v>0</v>
      </c>
      <c r="U21" s="40">
        <f>K21</f>
        <v>0</v>
      </c>
      <c r="V21" s="41">
        <f>M21</f>
        <v>0</v>
      </c>
      <c r="W21" s="3"/>
    </row>
    <row r="22" spans="1:23" ht="15.75" thickBot="1" x14ac:dyDescent="0.3">
      <c r="A22" s="39"/>
      <c r="B22" s="95"/>
      <c r="C22" s="96"/>
      <c r="D22" s="96"/>
      <c r="E22" s="96"/>
      <c r="F22" s="96"/>
      <c r="G22" s="96"/>
      <c r="H22" s="96"/>
      <c r="I22" s="97">
        <f>(I21*0.30972)*1.1</f>
        <v>0</v>
      </c>
      <c r="J22" s="96"/>
      <c r="K22" s="99">
        <f>(K21*0.19185)*1.1</f>
        <v>0</v>
      </c>
      <c r="L22" s="96"/>
      <c r="M22" s="100">
        <f>(M21*K32)</f>
        <v>0</v>
      </c>
      <c r="N22" s="96"/>
      <c r="O22" s="99">
        <f>H21*C21</f>
        <v>31.583838000000004</v>
      </c>
      <c r="P22" s="101">
        <f>I22+K22+O22</f>
        <v>31.583838000000004</v>
      </c>
      <c r="Q22" s="102"/>
      <c r="R22" s="100">
        <f>P22-M22</f>
        <v>31.583838000000004</v>
      </c>
      <c r="S22" s="103">
        <f>D23</f>
        <v>885.63696570000013</v>
      </c>
      <c r="T22" s="73"/>
      <c r="U22" s="42"/>
      <c r="V22" s="43"/>
      <c r="W22" s="3"/>
    </row>
    <row r="23" spans="1:23" x14ac:dyDescent="0.25">
      <c r="A23" s="39"/>
      <c r="B23" s="104">
        <v>45854</v>
      </c>
      <c r="C23" s="105">
        <f>DATEDIF(B23,B25,"d")</f>
        <v>31</v>
      </c>
      <c r="D23" s="106">
        <f>D21-R22+Q22</f>
        <v>885.63696570000013</v>
      </c>
      <c r="E23" s="107">
        <f>1.50393*1.1</f>
        <v>1.6543230000000002</v>
      </c>
      <c r="F23" s="108">
        <f>0.15502*1.1</f>
        <v>0.17052200000000001</v>
      </c>
      <c r="G23" s="109">
        <f>0.23202*1.1</f>
        <v>0.255222</v>
      </c>
      <c r="H23" s="109">
        <f>E23+F23+G23*1.1</f>
        <v>2.1055892000000003</v>
      </c>
      <c r="I23" s="110"/>
      <c r="J23" s="98">
        <f t="shared" si="0"/>
        <v>0</v>
      </c>
      <c r="K23" s="47"/>
      <c r="L23" s="98">
        <f t="shared" si="1"/>
        <v>0</v>
      </c>
      <c r="M23" s="48"/>
      <c r="N23" s="111">
        <f t="shared" si="2"/>
        <v>0</v>
      </c>
      <c r="O23" s="96"/>
      <c r="P23" s="96"/>
      <c r="Q23" s="96"/>
      <c r="R23" s="96"/>
      <c r="S23" s="112"/>
      <c r="T23" s="72">
        <f>I23</f>
        <v>0</v>
      </c>
      <c r="U23" s="40">
        <f>K23</f>
        <v>0</v>
      </c>
      <c r="V23" s="41">
        <f>M23</f>
        <v>0</v>
      </c>
      <c r="W23" s="3"/>
    </row>
    <row r="24" spans="1:23" ht="15.75" thickBot="1" x14ac:dyDescent="0.3">
      <c r="A24" s="187">
        <v>2026</v>
      </c>
      <c r="B24" s="95"/>
      <c r="C24" s="96"/>
      <c r="D24" s="96"/>
      <c r="E24" s="96"/>
      <c r="F24" s="96"/>
      <c r="G24" s="96"/>
      <c r="H24" s="96"/>
      <c r="I24" s="97">
        <f>(I23*0.30972)*1.1</f>
        <v>0</v>
      </c>
      <c r="J24" s="96"/>
      <c r="K24" s="99">
        <f>(K23*0.19185)*1.1</f>
        <v>0</v>
      </c>
      <c r="L24" s="96"/>
      <c r="M24" s="100">
        <f>(M23*K32)</f>
        <v>0</v>
      </c>
      <c r="N24" s="96"/>
      <c r="O24" s="99">
        <f>H23*C23</f>
        <v>65.273265200000012</v>
      </c>
      <c r="P24" s="101">
        <f>I24+K24+O24</f>
        <v>65.273265200000012</v>
      </c>
      <c r="Q24" s="102"/>
      <c r="R24" s="100">
        <f>P24-M24</f>
        <v>65.273265200000012</v>
      </c>
      <c r="S24" s="103">
        <f>D25</f>
        <v>820.36370050000016</v>
      </c>
      <c r="T24" s="73"/>
      <c r="U24" s="42"/>
      <c r="V24" s="43"/>
      <c r="W24" s="3"/>
    </row>
    <row r="25" spans="1:23" x14ac:dyDescent="0.25">
      <c r="A25" s="187"/>
      <c r="B25" s="104">
        <v>45885</v>
      </c>
      <c r="C25" s="105">
        <f>DATEDIF(B25,B27,"d")</f>
        <v>31</v>
      </c>
      <c r="D25" s="106">
        <f>D23-R24+Q24</f>
        <v>820.36370050000016</v>
      </c>
      <c r="E25" s="107">
        <f>1.50393*1.1</f>
        <v>1.6543230000000002</v>
      </c>
      <c r="F25" s="108">
        <f>0.15502*1.1</f>
        <v>0.17052200000000001</v>
      </c>
      <c r="G25" s="109">
        <f>0.23202*1.1</f>
        <v>0.255222</v>
      </c>
      <c r="H25" s="109">
        <f>E25+F25+G25*1.1</f>
        <v>2.1055892000000003</v>
      </c>
      <c r="I25" s="110"/>
      <c r="J25" s="98">
        <f t="shared" si="0"/>
        <v>0</v>
      </c>
      <c r="K25" s="47"/>
      <c r="L25" s="98">
        <f t="shared" si="1"/>
        <v>0</v>
      </c>
      <c r="M25" s="48"/>
      <c r="N25" s="111">
        <f t="shared" si="2"/>
        <v>0</v>
      </c>
      <c r="O25" s="96"/>
      <c r="P25" s="96"/>
      <c r="Q25" s="96"/>
      <c r="R25" s="96"/>
      <c r="S25" s="112"/>
      <c r="T25" s="72">
        <f>I25</f>
        <v>0</v>
      </c>
      <c r="U25" s="40">
        <f>K25</f>
        <v>0</v>
      </c>
      <c r="V25" s="41">
        <f>M25</f>
        <v>0</v>
      </c>
      <c r="W25" s="3"/>
    </row>
    <row r="26" spans="1:23" ht="15.75" thickBot="1" x14ac:dyDescent="0.3">
      <c r="A26" s="39"/>
      <c r="B26" s="95"/>
      <c r="C26" s="96"/>
      <c r="D26" s="96"/>
      <c r="E26" s="96"/>
      <c r="F26" s="96"/>
      <c r="G26" s="96"/>
      <c r="H26" s="96"/>
      <c r="I26" s="97">
        <f>(I25*0.30972)*1.1</f>
        <v>0</v>
      </c>
      <c r="J26" s="96"/>
      <c r="K26" s="99">
        <f>(K25*0.19185)*1.1</f>
        <v>0</v>
      </c>
      <c r="L26" s="96"/>
      <c r="M26" s="100">
        <f>(M25*K32)</f>
        <v>0</v>
      </c>
      <c r="N26" s="96"/>
      <c r="O26" s="99">
        <f>H25*C25</f>
        <v>65.273265200000012</v>
      </c>
      <c r="P26" s="101">
        <f>I26+K26+O26</f>
        <v>65.273265200000012</v>
      </c>
      <c r="Q26" s="102"/>
      <c r="R26" s="100">
        <f>P26-M26</f>
        <v>65.273265200000012</v>
      </c>
      <c r="S26" s="103">
        <f>D27</f>
        <v>755.09043530000019</v>
      </c>
      <c r="T26" s="73"/>
      <c r="U26" s="42"/>
      <c r="V26" s="43"/>
      <c r="W26" s="3"/>
    </row>
    <row r="27" spans="1:23" x14ac:dyDescent="0.25">
      <c r="A27" s="39"/>
      <c r="B27" s="104">
        <v>45916</v>
      </c>
      <c r="C27" s="105">
        <f>DATEDIF(B27,B29,"d")</f>
        <v>30</v>
      </c>
      <c r="D27" s="106">
        <f>D25-R26+Q26</f>
        <v>755.09043530000019</v>
      </c>
      <c r="E27" s="107">
        <f>1.50393*1.1</f>
        <v>1.6543230000000002</v>
      </c>
      <c r="F27" s="108">
        <f>0.15502*1.1</f>
        <v>0.17052200000000001</v>
      </c>
      <c r="G27" s="109">
        <f>0.23202*1.1</f>
        <v>0.255222</v>
      </c>
      <c r="H27" s="109">
        <f>E27+F27+G27*1.1</f>
        <v>2.1055892000000003</v>
      </c>
      <c r="I27" s="110"/>
      <c r="J27" s="98">
        <f t="shared" si="0"/>
        <v>0</v>
      </c>
      <c r="K27" s="47"/>
      <c r="L27" s="98">
        <f t="shared" si="1"/>
        <v>0</v>
      </c>
      <c r="M27" s="48"/>
      <c r="N27" s="111">
        <f t="shared" si="2"/>
        <v>0</v>
      </c>
      <c r="O27" s="96"/>
      <c r="P27" s="96"/>
      <c r="Q27" s="96"/>
      <c r="R27" s="96"/>
      <c r="S27" s="112"/>
      <c r="T27" s="72">
        <f>I27</f>
        <v>0</v>
      </c>
      <c r="U27" s="40">
        <f>K27</f>
        <v>0</v>
      </c>
      <c r="V27" s="41">
        <f>M27</f>
        <v>0</v>
      </c>
      <c r="W27" s="3"/>
    </row>
    <row r="28" spans="1:23" ht="15.75" thickBot="1" x14ac:dyDescent="0.3">
      <c r="A28" s="39"/>
      <c r="B28" s="95"/>
      <c r="C28" s="96"/>
      <c r="D28" s="96"/>
      <c r="E28" s="96"/>
      <c r="F28" s="96"/>
      <c r="G28" s="96"/>
      <c r="H28" s="96"/>
      <c r="I28" s="97">
        <f>(I27*0.30972)*1.1</f>
        <v>0</v>
      </c>
      <c r="J28" s="96"/>
      <c r="K28" s="99">
        <f>(K27*0.19185)*1.1</f>
        <v>0</v>
      </c>
      <c r="L28" s="96"/>
      <c r="M28" s="100">
        <f>(M27*K32)</f>
        <v>0</v>
      </c>
      <c r="N28" s="96"/>
      <c r="O28" s="99">
        <f>H27*C27</f>
        <v>63.167676000000007</v>
      </c>
      <c r="P28" s="101">
        <f>I28+K28+O28</f>
        <v>63.167676000000007</v>
      </c>
      <c r="Q28" s="102"/>
      <c r="R28" s="100">
        <f>P28-M28</f>
        <v>63.167676000000007</v>
      </c>
      <c r="S28" s="103">
        <f>D29</f>
        <v>691.92275930000017</v>
      </c>
      <c r="T28" s="73"/>
      <c r="U28" s="42"/>
      <c r="V28" s="43"/>
      <c r="W28" s="3"/>
    </row>
    <row r="29" spans="1:23" ht="15.75" thickBot="1" x14ac:dyDescent="0.3">
      <c r="A29" s="39"/>
      <c r="B29" s="85">
        <v>45946</v>
      </c>
      <c r="C29" s="86" t="e">
        <f>DATEDIF(B29,B31,"d")</f>
        <v>#NUM!</v>
      </c>
      <c r="D29" s="83">
        <f>D27-R28+Q28</f>
        <v>691.92275930000017</v>
      </c>
      <c r="E29" s="87">
        <f>1.50393*1.1</f>
        <v>1.6543230000000002</v>
      </c>
      <c r="F29" s="87">
        <f>0.15502*1.1</f>
        <v>0.17052200000000001</v>
      </c>
      <c r="G29" s="87">
        <f>0.23202*1.1</f>
        <v>0.255222</v>
      </c>
      <c r="H29" s="87">
        <f>E29+F29+G29*1.1</f>
        <v>2.1055892000000003</v>
      </c>
      <c r="I29" s="74"/>
      <c r="J29" s="113" t="e">
        <f t="shared" si="0"/>
        <v>#NUM!</v>
      </c>
      <c r="K29" s="74"/>
      <c r="L29" s="113" t="e">
        <f t="shared" si="1"/>
        <v>#NUM!</v>
      </c>
      <c r="M29" s="75"/>
      <c r="N29" s="129" t="e">
        <f t="shared" si="2"/>
        <v>#NUM!</v>
      </c>
      <c r="O29" s="82"/>
      <c r="P29" s="82"/>
      <c r="Q29" s="82"/>
      <c r="R29" s="82"/>
      <c r="S29" s="84"/>
      <c r="T29" s="44">
        <f>I29</f>
        <v>0</v>
      </c>
      <c r="U29" s="45">
        <f>K29</f>
        <v>0</v>
      </c>
      <c r="V29" s="46">
        <f>M29</f>
        <v>0</v>
      </c>
      <c r="W29" s="3"/>
    </row>
    <row r="30" spans="1:23" x14ac:dyDescent="0.25">
      <c r="D30" s="22"/>
      <c r="G30" s="3"/>
      <c r="H30" s="3"/>
      <c r="Q30" s="49"/>
      <c r="T30" s="44">
        <f>SUM(T5:T29)</f>
        <v>821.1</v>
      </c>
      <c r="U30" s="45">
        <f>SUM(U5:U29)</f>
        <v>2209.66</v>
      </c>
      <c r="V30" s="46">
        <f>SUM(V5:V29)</f>
        <v>1384.09</v>
      </c>
      <c r="W30" s="3"/>
    </row>
    <row r="31" spans="1:23" x14ac:dyDescent="0.25">
      <c r="D31" s="50"/>
      <c r="G31" s="51" t="s">
        <v>118</v>
      </c>
      <c r="R31" s="22"/>
    </row>
    <row r="32" spans="1:23" ht="26.25" x14ac:dyDescent="0.4">
      <c r="D32" s="50"/>
      <c r="E32" s="53">
        <v>0.44</v>
      </c>
      <c r="F32" s="52" t="s">
        <v>119</v>
      </c>
      <c r="K32" s="53">
        <v>0.44</v>
      </c>
      <c r="L32" s="53"/>
      <c r="M32" s="53"/>
      <c r="N32" s="53"/>
      <c r="O32" s="52" t="s">
        <v>119</v>
      </c>
    </row>
    <row r="33" spans="4:14" x14ac:dyDescent="0.25">
      <c r="D33" s="50"/>
      <c r="E33" s="18" t="s">
        <v>120</v>
      </c>
      <c r="K33" s="18" t="s">
        <v>121</v>
      </c>
      <c r="L33" s="18"/>
      <c r="M33" s="18"/>
      <c r="N33" s="18"/>
    </row>
  </sheetData>
  <mergeCells count="2">
    <mergeCell ref="A8:A9"/>
    <mergeCell ref="A24:A25"/>
  </mergeCells>
  <conditionalFormatting sqref="S5">
    <cfRule type="cellIs" dxfId="23" priority="25" operator="lessThan">
      <formula>-1</formula>
    </cfRule>
    <cfRule type="cellIs" dxfId="22" priority="26" operator="greaterThan">
      <formula>1</formula>
    </cfRule>
  </conditionalFormatting>
  <conditionalFormatting sqref="S7">
    <cfRule type="cellIs" dxfId="21" priority="23" operator="lessThan">
      <formula>-1</formula>
    </cfRule>
    <cfRule type="cellIs" dxfId="20" priority="24" operator="greaterThan">
      <formula>1</formula>
    </cfRule>
  </conditionalFormatting>
  <conditionalFormatting sqref="S9">
    <cfRule type="cellIs" dxfId="19" priority="21" operator="lessThan">
      <formula>-1</formula>
    </cfRule>
    <cfRule type="cellIs" dxfId="18" priority="22" operator="greaterThan">
      <formula>1</formula>
    </cfRule>
  </conditionalFormatting>
  <conditionalFormatting sqref="S11">
    <cfRule type="cellIs" dxfId="17" priority="19" operator="lessThan">
      <formula>-1</formula>
    </cfRule>
    <cfRule type="cellIs" dxfId="16" priority="20" operator="greaterThan">
      <formula>1</formula>
    </cfRule>
  </conditionalFormatting>
  <conditionalFormatting sqref="S13">
    <cfRule type="cellIs" dxfId="15" priority="17" operator="lessThan">
      <formula>-1</formula>
    </cfRule>
    <cfRule type="cellIs" dxfId="14" priority="18" operator="greaterThan">
      <formula>1</formula>
    </cfRule>
  </conditionalFormatting>
  <conditionalFormatting sqref="S15">
    <cfRule type="cellIs" dxfId="13" priority="15" operator="lessThan">
      <formula>-1</formula>
    </cfRule>
    <cfRule type="cellIs" dxfId="12" priority="16" operator="greaterThan">
      <formula>1</formula>
    </cfRule>
  </conditionalFormatting>
  <conditionalFormatting sqref="S17">
    <cfRule type="cellIs" dxfId="11" priority="13" operator="lessThan">
      <formula>-1</formula>
    </cfRule>
    <cfRule type="cellIs" dxfId="10" priority="14" operator="greaterThan">
      <formula>1</formula>
    </cfRule>
  </conditionalFormatting>
  <conditionalFormatting sqref="S19">
    <cfRule type="cellIs" dxfId="9" priority="11" operator="lessThan">
      <formula>-1</formula>
    </cfRule>
    <cfRule type="cellIs" dxfId="8" priority="12" operator="greaterThan">
      <formula>1</formula>
    </cfRule>
  </conditionalFormatting>
  <conditionalFormatting sqref="S22">
    <cfRule type="cellIs" dxfId="7" priority="9" operator="lessThan">
      <formula>-1</formula>
    </cfRule>
    <cfRule type="cellIs" dxfId="6" priority="10" operator="greaterThan">
      <formula>1</formula>
    </cfRule>
  </conditionalFormatting>
  <conditionalFormatting sqref="S24">
    <cfRule type="cellIs" dxfId="5" priority="7" operator="lessThan">
      <formula>-1</formula>
    </cfRule>
    <cfRule type="cellIs" dxfId="4" priority="8" operator="greaterThan">
      <formula>1</formula>
    </cfRule>
  </conditionalFormatting>
  <conditionalFormatting sqref="S26">
    <cfRule type="cellIs" dxfId="3" priority="5" operator="lessThan">
      <formula>-1</formula>
    </cfRule>
    <cfRule type="cellIs" dxfId="2" priority="6" operator="greaterThan">
      <formula>1</formula>
    </cfRule>
  </conditionalFormatting>
  <conditionalFormatting sqref="S28">
    <cfRule type="cellIs" dxfId="1" priority="1" operator="lessThan">
      <formula>-1</formula>
    </cfRule>
    <cfRule type="cellIs" dxfId="0" priority="2" operator="greaterThan">
      <formula>1</formula>
    </cfRule>
  </conditionalFormatting>
  <dataValidations count="2">
    <dataValidation type="list" allowBlank="1" showInputMessage="1" showErrorMessage="1" sqref="K32:N32" xr:uid="{A400DE06-91DC-47AA-92A3-D715ABC0B86A}">
      <formula1>".44, .0869"</formula1>
    </dataValidation>
    <dataValidation type="list" allowBlank="1" showInputMessage="1" showErrorMessage="1" sqref="E32" xr:uid="{FBDDB82D-CA50-40F5-B72D-1AF086466395}">
      <formula1>".44, .12377"</formula1>
    </dataValidation>
  </dataValidations>
  <pageMargins left="0.7" right="0.7" top="0.75" bottom="0.75" header="0.3" footer="0.3"/>
  <ignoredErrors>
    <ignoredError sqref="D6 D20 D8:D19 D21:D27 D29 J4 J6:J19 L4:L19 N4:N19 J21:J29 L21:L29 N21:N2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2F843-9DD2-4DB4-8FB0-02C5345F83D1}">
  <sheetPr codeName="Sheet3"/>
  <dimension ref="B1:Z37"/>
  <sheetViews>
    <sheetView workbookViewId="0">
      <selection activeCell="AB21" sqref="AB21"/>
    </sheetView>
  </sheetViews>
  <sheetFormatPr defaultRowHeight="15" x14ac:dyDescent="0.25"/>
  <cols>
    <col min="2" max="2" width="6.42578125" customWidth="1"/>
    <col min="3" max="3" width="13.7109375" customWidth="1"/>
    <col min="4" max="4" width="1.85546875" customWidth="1"/>
    <col min="5" max="5" width="11.28515625" bestFit="1" customWidth="1"/>
    <col min="6" max="7" width="8.28515625" customWidth="1"/>
    <col min="8" max="8" width="11.28515625" bestFit="1" customWidth="1"/>
    <col min="9" max="9" width="6.7109375" bestFit="1" customWidth="1"/>
    <col min="10" max="10" width="6.7109375" customWidth="1"/>
    <col min="11" max="11" width="11.28515625" bestFit="1" customWidth="1"/>
    <col min="12" max="12" width="6.7109375" bestFit="1" customWidth="1"/>
    <col min="13" max="13" width="6.7109375" customWidth="1"/>
    <col min="14" max="14" width="11.28515625" bestFit="1" customWidth="1"/>
    <col min="15" max="15" width="7.7109375" bestFit="1" customWidth="1"/>
    <col min="16" max="16" width="7.7109375" customWidth="1"/>
    <col min="17" max="17" width="11.28515625" bestFit="1" customWidth="1"/>
    <col min="18" max="18" width="7.7109375" bestFit="1" customWidth="1"/>
    <col min="19" max="19" width="6" customWidth="1"/>
    <col min="20" max="20" width="15.140625" customWidth="1"/>
    <col min="21" max="21" width="6" customWidth="1"/>
    <col min="22" max="22" width="5" bestFit="1" customWidth="1"/>
    <col min="23" max="23" width="7" bestFit="1" customWidth="1"/>
    <col min="24" max="24" width="4.140625" bestFit="1" customWidth="1"/>
  </cols>
  <sheetData>
    <row r="1" spans="2:26" ht="7.5" customHeight="1" x14ac:dyDescent="0.25"/>
    <row r="2" spans="2:26" x14ac:dyDescent="0.25">
      <c r="C2" t="s">
        <v>134</v>
      </c>
    </row>
    <row r="3" spans="2:26" s="3" customFormat="1" ht="18.75" x14ac:dyDescent="0.3">
      <c r="C3" s="63" t="s">
        <v>125</v>
      </c>
      <c r="E3" s="63">
        <v>3</v>
      </c>
      <c r="F3" s="63"/>
      <c r="G3" s="63"/>
      <c r="H3" s="63">
        <v>4</v>
      </c>
      <c r="I3" s="63"/>
      <c r="J3" s="63"/>
      <c r="K3" s="63">
        <v>15</v>
      </c>
      <c r="L3" s="63"/>
      <c r="M3" s="63"/>
      <c r="N3" s="63">
        <v>16</v>
      </c>
      <c r="O3" s="63"/>
      <c r="P3" s="63"/>
      <c r="Q3" s="63">
        <v>21</v>
      </c>
      <c r="R3" s="63"/>
      <c r="S3" s="63"/>
      <c r="T3" s="63"/>
      <c r="U3" s="63">
        <v>41</v>
      </c>
      <c r="V3" s="63">
        <v>46</v>
      </c>
      <c r="W3" s="63">
        <v>42</v>
      </c>
      <c r="X3" s="63">
        <v>47</v>
      </c>
      <c r="Y3" s="63"/>
    </row>
    <row r="4" spans="2:26" x14ac:dyDescent="0.25">
      <c r="B4" s="3"/>
      <c r="C4" s="3"/>
      <c r="D4" s="3"/>
      <c r="E4" s="3" t="s">
        <v>124</v>
      </c>
      <c r="F4" s="3" t="s">
        <v>123</v>
      </c>
      <c r="G4" s="3"/>
      <c r="H4" s="3" t="s">
        <v>124</v>
      </c>
      <c r="I4" s="3" t="s">
        <v>123</v>
      </c>
      <c r="J4" s="3"/>
      <c r="K4" s="3" t="s">
        <v>124</v>
      </c>
      <c r="L4" s="3" t="s">
        <v>123</v>
      </c>
      <c r="M4" s="3"/>
      <c r="N4" s="3" t="s">
        <v>124</v>
      </c>
      <c r="O4" s="3" t="s">
        <v>123</v>
      </c>
      <c r="P4" s="3"/>
      <c r="Q4" s="3" t="s">
        <v>124</v>
      </c>
      <c r="R4" s="3" t="s">
        <v>123</v>
      </c>
      <c r="S4" s="3"/>
      <c r="T4" s="3"/>
      <c r="U4" s="3"/>
      <c r="V4" s="3"/>
      <c r="W4" s="3"/>
      <c r="X4" s="3"/>
      <c r="Y4" s="3"/>
      <c r="Z4" s="3"/>
    </row>
    <row r="5" spans="2:26" x14ac:dyDescent="0.25">
      <c r="B5" s="64">
        <v>2300</v>
      </c>
      <c r="C5" s="65">
        <v>45725</v>
      </c>
      <c r="D5" s="66"/>
      <c r="E5" s="12">
        <v>2221.9</v>
      </c>
      <c r="F5" s="12">
        <f>E6-E5</f>
        <v>4</v>
      </c>
      <c r="H5" s="67">
        <v>689</v>
      </c>
      <c r="I5" s="67">
        <f>H6-H5</f>
        <v>0</v>
      </c>
      <c r="J5" s="67"/>
      <c r="K5" s="68">
        <v>776.3</v>
      </c>
      <c r="L5" s="68">
        <f>K6-K5</f>
        <v>0.70000000000004547</v>
      </c>
      <c r="M5" s="68"/>
      <c r="N5" s="67">
        <v>1320.6</v>
      </c>
      <c r="O5" s="67">
        <f>N6-N5</f>
        <v>0</v>
      </c>
      <c r="P5" s="67"/>
      <c r="Q5" s="69">
        <v>2077.1</v>
      </c>
      <c r="R5" s="69">
        <f>Q6-Q5</f>
        <v>3.4000000000000909</v>
      </c>
      <c r="S5" s="64"/>
      <c r="T5" s="64"/>
      <c r="U5" s="68"/>
      <c r="V5" s="64"/>
      <c r="W5" s="69"/>
      <c r="X5" s="64"/>
      <c r="Y5" s="64"/>
      <c r="Z5" s="3"/>
    </row>
    <row r="6" spans="2:26" x14ac:dyDescent="0.25">
      <c r="B6" s="64">
        <v>1500</v>
      </c>
      <c r="C6" s="65">
        <v>45726</v>
      </c>
      <c r="D6" s="66"/>
      <c r="E6" s="12">
        <v>2225.9</v>
      </c>
      <c r="F6" s="12">
        <f>E7-E6</f>
        <v>7.5999999999999091</v>
      </c>
      <c r="G6" s="12">
        <f>F5+G5</f>
        <v>4</v>
      </c>
      <c r="H6" s="67">
        <v>689</v>
      </c>
      <c r="I6" s="67">
        <f>H7-H6</f>
        <v>10.200000000000045</v>
      </c>
      <c r="J6" s="12">
        <f>I5+J5</f>
        <v>0</v>
      </c>
      <c r="K6" s="68">
        <v>777</v>
      </c>
      <c r="L6" s="68">
        <f>K7-K6</f>
        <v>3</v>
      </c>
      <c r="M6" s="12">
        <f>L5+M5</f>
        <v>0.70000000000004547</v>
      </c>
      <c r="N6" s="67">
        <v>1320.6</v>
      </c>
      <c r="O6" s="67">
        <f>N7-N6</f>
        <v>11.400000000000091</v>
      </c>
      <c r="P6" s="12">
        <f>O5+P5</f>
        <v>0</v>
      </c>
      <c r="Q6" s="69">
        <v>2080.5</v>
      </c>
      <c r="R6" s="69">
        <f>Q7-Q6</f>
        <v>5.8000000000001819</v>
      </c>
      <c r="S6" s="12">
        <f>R5+S5</f>
        <v>3.4000000000000909</v>
      </c>
      <c r="T6" s="12"/>
      <c r="U6" s="68">
        <v>606</v>
      </c>
      <c r="V6" s="67">
        <v>0</v>
      </c>
      <c r="W6" s="69">
        <v>1607.9</v>
      </c>
      <c r="X6" s="64">
        <v>0</v>
      </c>
      <c r="Y6" s="64"/>
      <c r="Z6" s="3"/>
    </row>
    <row r="7" spans="2:26" x14ac:dyDescent="0.25">
      <c r="B7" s="64">
        <v>1455</v>
      </c>
      <c r="C7" s="65">
        <v>45727</v>
      </c>
      <c r="D7" s="64"/>
      <c r="E7" s="12">
        <v>2233.5</v>
      </c>
      <c r="F7" s="12">
        <f>E8-E7</f>
        <v>120.5</v>
      </c>
      <c r="G7" s="12">
        <f t="shared" ref="G7:G34" si="0">F6+G6</f>
        <v>11.599999999999909</v>
      </c>
      <c r="H7" s="67">
        <v>699.2</v>
      </c>
      <c r="I7" s="67">
        <f>H8-H7</f>
        <v>22.799999999999955</v>
      </c>
      <c r="J7" s="12">
        <f t="shared" ref="J7:J34" si="1">I6+J6</f>
        <v>10.200000000000045</v>
      </c>
      <c r="K7" s="68">
        <v>780</v>
      </c>
      <c r="L7" s="68">
        <f>K8-K7</f>
        <v>41</v>
      </c>
      <c r="M7" s="12">
        <f t="shared" ref="M7:M34" si="2">L6+M6</f>
        <v>3.7000000000000455</v>
      </c>
      <c r="N7" s="67">
        <v>1332</v>
      </c>
      <c r="O7" s="67">
        <f>N8-N7</f>
        <v>37</v>
      </c>
      <c r="P7" s="12">
        <f t="shared" ref="P7:P34" si="3">O6+P6</f>
        <v>11.400000000000091</v>
      </c>
      <c r="Q7" s="69">
        <v>2086.3000000000002</v>
      </c>
      <c r="R7" s="69">
        <f>Q8-Q7</f>
        <v>92.699999999999818</v>
      </c>
      <c r="S7" s="12">
        <f t="shared" ref="S7:S34" si="4">R6+S6</f>
        <v>9.2000000000002728</v>
      </c>
      <c r="T7" s="12"/>
      <c r="U7" s="68">
        <v>0</v>
      </c>
      <c r="V7" s="67">
        <v>3314</v>
      </c>
      <c r="W7" s="69">
        <v>30.5</v>
      </c>
      <c r="X7" s="64">
        <v>0</v>
      </c>
      <c r="Y7" s="64"/>
      <c r="Z7" s="3"/>
    </row>
    <row r="8" spans="2:26" x14ac:dyDescent="0.25">
      <c r="B8" s="64">
        <v>1500</v>
      </c>
      <c r="C8" s="65">
        <v>45732</v>
      </c>
      <c r="D8" s="64"/>
      <c r="E8" s="12">
        <v>2354</v>
      </c>
      <c r="F8" s="12">
        <f>E10-E8</f>
        <v>167</v>
      </c>
      <c r="G8" s="12">
        <f t="shared" si="0"/>
        <v>132.09999999999991</v>
      </c>
      <c r="H8" s="67">
        <v>722</v>
      </c>
      <c r="I8" s="67">
        <f>H10-H8</f>
        <v>41.200000000000045</v>
      </c>
      <c r="J8" s="12">
        <f t="shared" si="1"/>
        <v>33</v>
      </c>
      <c r="K8" s="68">
        <v>821</v>
      </c>
      <c r="L8" s="68">
        <f>K10-K8</f>
        <v>63.700000000000045</v>
      </c>
      <c r="M8" s="12">
        <f t="shared" si="2"/>
        <v>44.700000000000045</v>
      </c>
      <c r="N8" s="67">
        <v>1369</v>
      </c>
      <c r="O8" s="67">
        <f>N10-N8</f>
        <v>60.900000000000091</v>
      </c>
      <c r="P8" s="12">
        <f t="shared" si="3"/>
        <v>48.400000000000091</v>
      </c>
      <c r="Q8" s="69">
        <v>2179</v>
      </c>
      <c r="R8" s="69">
        <f>Q10-Q8</f>
        <v>124.09999999999991</v>
      </c>
      <c r="S8" s="12">
        <f t="shared" si="4"/>
        <v>101.90000000000009</v>
      </c>
      <c r="T8" s="12"/>
      <c r="U8" s="68"/>
      <c r="V8" s="67"/>
      <c r="W8" s="69"/>
      <c r="X8" s="64"/>
      <c r="Y8" s="64"/>
      <c r="Z8" s="3"/>
    </row>
    <row r="9" spans="2:26" x14ac:dyDescent="0.25">
      <c r="B9" s="64">
        <v>2030</v>
      </c>
      <c r="C9" s="65">
        <v>45736</v>
      </c>
      <c r="D9" s="64"/>
      <c r="E9" s="12">
        <v>2475.3000000000002</v>
      </c>
      <c r="F9" s="12">
        <v>121</v>
      </c>
      <c r="G9" s="12">
        <f t="shared" si="0"/>
        <v>299.09999999999991</v>
      </c>
      <c r="H9" s="67">
        <v>745.4</v>
      </c>
      <c r="I9" s="67">
        <f>H11-H9</f>
        <v>25.800000000000068</v>
      </c>
      <c r="J9" s="12">
        <f t="shared" si="1"/>
        <v>74.200000000000045</v>
      </c>
      <c r="K9" s="68">
        <v>863.9</v>
      </c>
      <c r="L9" s="68">
        <f>K11-K9</f>
        <v>43.800000000000068</v>
      </c>
      <c r="M9" s="12">
        <f t="shared" si="2"/>
        <v>108.40000000000009</v>
      </c>
      <c r="N9" s="67">
        <v>1406</v>
      </c>
      <c r="O9" s="67">
        <f>N11-N9</f>
        <v>35.400000000000091</v>
      </c>
      <c r="P9" s="12">
        <f t="shared" si="3"/>
        <v>109.30000000000018</v>
      </c>
      <c r="Q9" s="69">
        <v>2272</v>
      </c>
      <c r="R9" s="69">
        <f>Q11-Q9</f>
        <v>64.300000000000182</v>
      </c>
      <c r="S9" s="12">
        <f t="shared" si="4"/>
        <v>226</v>
      </c>
      <c r="T9" s="12"/>
      <c r="U9" s="68">
        <v>764.3</v>
      </c>
      <c r="V9" s="67">
        <v>0</v>
      </c>
      <c r="W9" s="69">
        <v>3407.2</v>
      </c>
      <c r="X9" s="64">
        <v>0</v>
      </c>
      <c r="Y9" s="64"/>
      <c r="Z9" s="3"/>
    </row>
    <row r="10" spans="2:26" x14ac:dyDescent="0.25">
      <c r="B10" s="64">
        <v>1230</v>
      </c>
      <c r="C10" s="65">
        <v>45739</v>
      </c>
      <c r="D10" s="64"/>
      <c r="E10" s="12">
        <v>2521</v>
      </c>
      <c r="F10" s="12">
        <f>E11-E10</f>
        <v>52.800000000000182</v>
      </c>
      <c r="G10" s="12">
        <f t="shared" si="0"/>
        <v>420.09999999999991</v>
      </c>
      <c r="H10" s="67">
        <v>763.2</v>
      </c>
      <c r="I10" s="67">
        <f>H11-H10</f>
        <v>8</v>
      </c>
      <c r="J10" s="12">
        <f t="shared" si="1"/>
        <v>100.00000000000011</v>
      </c>
      <c r="K10" s="68">
        <v>884.7</v>
      </c>
      <c r="L10" s="68">
        <f>K11-K10</f>
        <v>23</v>
      </c>
      <c r="M10" s="12">
        <f t="shared" si="2"/>
        <v>152.20000000000016</v>
      </c>
      <c r="N10" s="67">
        <v>1429.9</v>
      </c>
      <c r="O10" s="67">
        <f>N11-N10</f>
        <v>11.5</v>
      </c>
      <c r="P10" s="12">
        <f t="shared" si="3"/>
        <v>144.70000000000027</v>
      </c>
      <c r="Q10" s="69">
        <v>2303.1</v>
      </c>
      <c r="R10" s="69">
        <f>Q11-Q10</f>
        <v>33.200000000000273</v>
      </c>
      <c r="S10" s="12">
        <f t="shared" si="4"/>
        <v>290.30000000000018</v>
      </c>
      <c r="T10" s="12"/>
      <c r="U10" s="68">
        <v>0</v>
      </c>
      <c r="V10" s="67">
        <v>1900</v>
      </c>
      <c r="W10" s="69">
        <v>85.7</v>
      </c>
      <c r="X10" s="64">
        <v>0</v>
      </c>
      <c r="Y10" s="64"/>
      <c r="Z10" s="3"/>
    </row>
    <row r="11" spans="2:26" x14ac:dyDescent="0.25">
      <c r="B11" s="64">
        <v>2100</v>
      </c>
      <c r="C11" s="65">
        <v>45741</v>
      </c>
      <c r="D11" s="64"/>
      <c r="E11" s="12">
        <v>2573.8000000000002</v>
      </c>
      <c r="F11" s="12">
        <f>E12-E11</f>
        <v>65.099999999999909</v>
      </c>
      <c r="G11" s="12">
        <f t="shared" si="0"/>
        <v>472.90000000000009</v>
      </c>
      <c r="H11" s="67">
        <v>771.2</v>
      </c>
      <c r="I11" s="67">
        <f>H12-H11</f>
        <v>12</v>
      </c>
      <c r="J11" s="12">
        <f t="shared" si="1"/>
        <v>108.00000000000011</v>
      </c>
      <c r="K11" s="68">
        <v>907.7</v>
      </c>
      <c r="L11" s="68">
        <f>K12-K11</f>
        <v>28.099999999999909</v>
      </c>
      <c r="M11" s="12">
        <f t="shared" si="2"/>
        <v>175.20000000000016</v>
      </c>
      <c r="N11" s="67">
        <v>1441.4</v>
      </c>
      <c r="O11" s="67">
        <f>N12-N11</f>
        <v>17.299999999999955</v>
      </c>
      <c r="P11" s="12">
        <f t="shared" si="3"/>
        <v>156.20000000000027</v>
      </c>
      <c r="Q11" s="69">
        <v>2336.3000000000002</v>
      </c>
      <c r="R11" s="69">
        <f>Q12-Q11</f>
        <v>42.299999999999727</v>
      </c>
      <c r="S11" s="12">
        <f t="shared" si="4"/>
        <v>323.50000000000045</v>
      </c>
      <c r="T11" s="12"/>
      <c r="U11" s="68">
        <v>793</v>
      </c>
      <c r="V11" s="67">
        <v>0</v>
      </c>
      <c r="W11" s="69">
        <v>31</v>
      </c>
      <c r="X11" s="64">
        <v>0</v>
      </c>
      <c r="Y11" s="64"/>
      <c r="Z11" s="3"/>
    </row>
    <row r="12" spans="2:26" x14ac:dyDescent="0.25">
      <c r="B12" s="3">
        <v>2000</v>
      </c>
      <c r="C12" s="65">
        <v>45744</v>
      </c>
      <c r="D12" s="3"/>
      <c r="E12" s="12">
        <v>2638.9</v>
      </c>
      <c r="F12" s="12">
        <f>E13-E12</f>
        <v>16.900000000000091</v>
      </c>
      <c r="G12" s="12">
        <f t="shared" si="0"/>
        <v>538</v>
      </c>
      <c r="H12" s="67">
        <v>783.2</v>
      </c>
      <c r="I12" s="67">
        <f t="shared" ref="I12:I34" si="5">H13-H12</f>
        <v>4.0999999999999091</v>
      </c>
      <c r="J12" s="12">
        <f t="shared" si="1"/>
        <v>120.00000000000011</v>
      </c>
      <c r="K12" s="68">
        <v>935.8</v>
      </c>
      <c r="L12" s="68">
        <f t="shared" ref="L12:L34" si="6">K13-K12</f>
        <v>7.2000000000000455</v>
      </c>
      <c r="M12" s="12">
        <f t="shared" si="2"/>
        <v>203.30000000000007</v>
      </c>
      <c r="N12" s="67">
        <v>1458.7</v>
      </c>
      <c r="O12" s="67">
        <f t="shared" ref="O12:O34" si="7">N13-N12</f>
        <v>9.0999999999999091</v>
      </c>
      <c r="P12" s="12">
        <f t="shared" si="3"/>
        <v>173.50000000000023</v>
      </c>
      <c r="Q12" s="69">
        <v>2378.6</v>
      </c>
      <c r="R12" s="69">
        <f t="shared" ref="R12:R34" si="8">Q13-Q12</f>
        <v>14.700000000000273</v>
      </c>
      <c r="S12" s="12">
        <f>R11+S11</f>
        <v>365.80000000000018</v>
      </c>
      <c r="T12" s="12"/>
      <c r="U12" s="68">
        <v>644</v>
      </c>
      <c r="V12" s="67">
        <v>0</v>
      </c>
      <c r="W12" s="69">
        <v>314</v>
      </c>
      <c r="X12" s="3"/>
      <c r="Y12" s="3"/>
      <c r="Z12" s="3"/>
    </row>
    <row r="13" spans="2:26" x14ac:dyDescent="0.25">
      <c r="B13" s="64">
        <v>1700</v>
      </c>
      <c r="C13" s="65">
        <v>45745</v>
      </c>
      <c r="E13" s="12">
        <v>2655.8</v>
      </c>
      <c r="F13" s="12">
        <f t="shared" ref="F13:F34" si="9">E14-E13</f>
        <v>54.399999999999636</v>
      </c>
      <c r="G13" s="12">
        <f t="shared" si="0"/>
        <v>554.90000000000009</v>
      </c>
      <c r="H13" s="67">
        <v>787.3</v>
      </c>
      <c r="I13" s="67">
        <f t="shared" si="5"/>
        <v>19.200000000000045</v>
      </c>
      <c r="J13" s="12">
        <f t="shared" si="1"/>
        <v>124.10000000000002</v>
      </c>
      <c r="K13" s="68">
        <v>943</v>
      </c>
      <c r="L13" s="68">
        <f t="shared" si="6"/>
        <v>23.5</v>
      </c>
      <c r="M13" s="12">
        <f t="shared" si="2"/>
        <v>210.50000000000011</v>
      </c>
      <c r="N13" s="67">
        <v>1467.8</v>
      </c>
      <c r="O13" s="67">
        <f t="shared" si="7"/>
        <v>31.700000000000045</v>
      </c>
      <c r="P13" s="12">
        <f t="shared" si="3"/>
        <v>182.60000000000014</v>
      </c>
      <c r="Q13" s="69">
        <v>2393.3000000000002</v>
      </c>
      <c r="R13" s="69">
        <f t="shared" si="8"/>
        <v>43.299999999999727</v>
      </c>
      <c r="S13" s="12">
        <f t="shared" si="4"/>
        <v>380.50000000000045</v>
      </c>
      <c r="T13" s="12"/>
    </row>
    <row r="14" spans="2:26" x14ac:dyDescent="0.25">
      <c r="B14" s="64">
        <v>1400</v>
      </c>
      <c r="C14" s="21">
        <v>45748</v>
      </c>
      <c r="E14" s="12">
        <v>2710.2</v>
      </c>
      <c r="F14" s="12">
        <f t="shared" si="9"/>
        <v>-2710.2</v>
      </c>
      <c r="G14" s="12">
        <f t="shared" si="0"/>
        <v>609.29999999999973</v>
      </c>
      <c r="H14" s="67">
        <v>806.5</v>
      </c>
      <c r="I14" s="67">
        <f t="shared" si="5"/>
        <v>-806.5</v>
      </c>
      <c r="J14" s="12">
        <f t="shared" si="1"/>
        <v>143.30000000000007</v>
      </c>
      <c r="K14" s="68">
        <v>966.5</v>
      </c>
      <c r="L14" s="68">
        <f t="shared" si="6"/>
        <v>-966.5</v>
      </c>
      <c r="M14" s="12">
        <f t="shared" si="2"/>
        <v>234.00000000000011</v>
      </c>
      <c r="N14" s="67">
        <v>1499.5</v>
      </c>
      <c r="O14" s="67">
        <f t="shared" si="7"/>
        <v>-1499.5</v>
      </c>
      <c r="P14" s="12">
        <f t="shared" si="3"/>
        <v>214.30000000000018</v>
      </c>
      <c r="Q14" s="69">
        <v>2436.6</v>
      </c>
      <c r="R14" s="69">
        <f t="shared" si="8"/>
        <v>-2436.6</v>
      </c>
      <c r="S14" s="12">
        <f t="shared" si="4"/>
        <v>423.80000000000018</v>
      </c>
      <c r="T14" s="12"/>
      <c r="U14" s="68">
        <v>0</v>
      </c>
      <c r="V14" s="67">
        <v>1040</v>
      </c>
      <c r="W14" s="69">
        <v>2880</v>
      </c>
    </row>
    <row r="15" spans="2:26" x14ac:dyDescent="0.25">
      <c r="E15" s="12"/>
      <c r="F15" s="12">
        <f t="shared" si="9"/>
        <v>0</v>
      </c>
      <c r="G15" s="12">
        <f t="shared" si="0"/>
        <v>-2100.9</v>
      </c>
      <c r="H15" s="67"/>
      <c r="I15" s="67">
        <f t="shared" si="5"/>
        <v>0</v>
      </c>
      <c r="J15" s="12">
        <f t="shared" si="1"/>
        <v>-663.19999999999993</v>
      </c>
      <c r="K15" s="68"/>
      <c r="L15" s="68">
        <f t="shared" si="6"/>
        <v>0</v>
      </c>
      <c r="M15" s="12">
        <f t="shared" si="2"/>
        <v>-732.49999999999989</v>
      </c>
      <c r="N15" s="67"/>
      <c r="O15" s="67">
        <f t="shared" si="7"/>
        <v>0</v>
      </c>
      <c r="P15" s="12">
        <f t="shared" si="3"/>
        <v>-1285.1999999999998</v>
      </c>
      <c r="Q15" s="69"/>
      <c r="R15" s="69">
        <f t="shared" si="8"/>
        <v>0</v>
      </c>
      <c r="S15" s="12">
        <f>R14+S14</f>
        <v>-2012.7999999999997</v>
      </c>
      <c r="T15" s="12"/>
      <c r="U15" s="68"/>
      <c r="V15" s="67"/>
      <c r="W15" s="69"/>
    </row>
    <row r="16" spans="2:26" x14ac:dyDescent="0.25">
      <c r="E16" s="12"/>
      <c r="F16" s="12">
        <f t="shared" si="9"/>
        <v>0</v>
      </c>
      <c r="G16" s="12">
        <f t="shared" si="0"/>
        <v>-2100.9</v>
      </c>
      <c r="H16" s="67"/>
      <c r="I16" s="67">
        <f t="shared" si="5"/>
        <v>0</v>
      </c>
      <c r="J16" s="12">
        <f t="shared" si="1"/>
        <v>-663.19999999999993</v>
      </c>
      <c r="K16" s="68"/>
      <c r="L16" s="68">
        <f t="shared" si="6"/>
        <v>0</v>
      </c>
      <c r="M16" s="12">
        <f t="shared" si="2"/>
        <v>-732.49999999999989</v>
      </c>
      <c r="N16" s="67"/>
      <c r="O16" s="67">
        <f t="shared" si="7"/>
        <v>0</v>
      </c>
      <c r="P16" s="12">
        <f t="shared" si="3"/>
        <v>-1285.1999999999998</v>
      </c>
      <c r="Q16" s="69"/>
      <c r="R16" s="69">
        <f t="shared" si="8"/>
        <v>0</v>
      </c>
      <c r="S16" s="12">
        <f t="shared" si="4"/>
        <v>-2012.7999999999997</v>
      </c>
      <c r="T16" s="12"/>
      <c r="U16" s="68"/>
      <c r="V16" s="67"/>
      <c r="W16" s="69"/>
    </row>
    <row r="17" spans="3:23" x14ac:dyDescent="0.25">
      <c r="C17" s="65"/>
      <c r="D17" s="61"/>
      <c r="E17" s="12"/>
      <c r="F17" s="12">
        <f t="shared" si="9"/>
        <v>0</v>
      </c>
      <c r="G17" s="12">
        <f t="shared" si="0"/>
        <v>-2100.9</v>
      </c>
      <c r="H17" s="67"/>
      <c r="I17" s="67">
        <f t="shared" si="5"/>
        <v>0</v>
      </c>
      <c r="J17" s="12">
        <f t="shared" si="1"/>
        <v>-663.19999999999993</v>
      </c>
      <c r="K17" s="68"/>
      <c r="L17" s="68">
        <f t="shared" si="6"/>
        <v>0</v>
      </c>
      <c r="M17" s="12">
        <f t="shared" si="2"/>
        <v>-732.49999999999989</v>
      </c>
      <c r="N17" s="67"/>
      <c r="O17" s="67">
        <f t="shared" si="7"/>
        <v>0</v>
      </c>
      <c r="P17" s="12">
        <f t="shared" si="3"/>
        <v>-1285.1999999999998</v>
      </c>
      <c r="Q17" s="69"/>
      <c r="R17" s="69">
        <f t="shared" si="8"/>
        <v>0</v>
      </c>
      <c r="S17" s="12">
        <f t="shared" si="4"/>
        <v>-2012.7999999999997</v>
      </c>
      <c r="T17" s="12"/>
      <c r="U17" s="68"/>
      <c r="V17" s="67"/>
      <c r="W17" s="69"/>
    </row>
    <row r="18" spans="3:23" x14ac:dyDescent="0.25">
      <c r="D18" s="59"/>
      <c r="E18" s="12"/>
      <c r="F18" s="12">
        <f t="shared" si="9"/>
        <v>0</v>
      </c>
      <c r="G18" s="12">
        <f t="shared" si="0"/>
        <v>-2100.9</v>
      </c>
      <c r="H18" s="67"/>
      <c r="I18" s="67">
        <f t="shared" si="5"/>
        <v>0</v>
      </c>
      <c r="J18" s="12">
        <f t="shared" si="1"/>
        <v>-663.19999999999993</v>
      </c>
      <c r="K18" s="68"/>
      <c r="L18" s="68">
        <f t="shared" si="6"/>
        <v>0</v>
      </c>
      <c r="M18" s="12">
        <f t="shared" si="2"/>
        <v>-732.49999999999989</v>
      </c>
      <c r="N18" s="67"/>
      <c r="O18" s="67">
        <f t="shared" si="7"/>
        <v>0</v>
      </c>
      <c r="P18" s="12">
        <f t="shared" si="3"/>
        <v>-1285.1999999999998</v>
      </c>
      <c r="Q18" s="69"/>
      <c r="R18" s="69">
        <f t="shared" si="8"/>
        <v>0</v>
      </c>
      <c r="S18" s="12">
        <f t="shared" si="4"/>
        <v>-2012.7999999999997</v>
      </c>
      <c r="T18" s="12"/>
      <c r="U18" s="68"/>
      <c r="V18" s="67"/>
      <c r="W18" s="69"/>
    </row>
    <row r="19" spans="3:23" x14ac:dyDescent="0.25">
      <c r="D19" s="62"/>
      <c r="E19" s="12"/>
      <c r="F19" s="12">
        <f t="shared" si="9"/>
        <v>0</v>
      </c>
      <c r="G19" s="12">
        <f t="shared" si="0"/>
        <v>-2100.9</v>
      </c>
      <c r="H19" s="67"/>
      <c r="I19" s="67">
        <f t="shared" si="5"/>
        <v>0</v>
      </c>
      <c r="J19" s="12">
        <f t="shared" si="1"/>
        <v>-663.19999999999993</v>
      </c>
      <c r="K19" s="68"/>
      <c r="L19" s="68">
        <f t="shared" si="6"/>
        <v>0</v>
      </c>
      <c r="M19" s="12">
        <f t="shared" si="2"/>
        <v>-732.49999999999989</v>
      </c>
      <c r="N19" s="67"/>
      <c r="O19" s="67">
        <f t="shared" si="7"/>
        <v>0</v>
      </c>
      <c r="P19" s="12">
        <f t="shared" si="3"/>
        <v>-1285.1999999999998</v>
      </c>
      <c r="Q19" s="69"/>
      <c r="R19" s="69">
        <f t="shared" si="8"/>
        <v>0</v>
      </c>
      <c r="S19" s="12">
        <f t="shared" si="4"/>
        <v>-2012.7999999999997</v>
      </c>
      <c r="T19" s="12"/>
      <c r="U19" s="68"/>
      <c r="V19" s="67"/>
      <c r="W19" s="69"/>
    </row>
    <row r="20" spans="3:23" x14ac:dyDescent="0.25">
      <c r="E20" s="12"/>
      <c r="F20" s="12">
        <f t="shared" si="9"/>
        <v>0</v>
      </c>
      <c r="G20" s="12">
        <f t="shared" si="0"/>
        <v>-2100.9</v>
      </c>
      <c r="H20" s="67"/>
      <c r="I20" s="67">
        <f t="shared" si="5"/>
        <v>0</v>
      </c>
      <c r="J20" s="12">
        <f t="shared" si="1"/>
        <v>-663.19999999999993</v>
      </c>
      <c r="K20" s="68"/>
      <c r="L20" s="68">
        <f t="shared" si="6"/>
        <v>0</v>
      </c>
      <c r="M20" s="12">
        <f t="shared" si="2"/>
        <v>-732.49999999999989</v>
      </c>
      <c r="N20" s="67"/>
      <c r="O20" s="67">
        <f t="shared" si="7"/>
        <v>0</v>
      </c>
      <c r="P20" s="12">
        <f t="shared" si="3"/>
        <v>-1285.1999999999998</v>
      </c>
      <c r="Q20" s="69"/>
      <c r="R20" s="69">
        <f t="shared" si="8"/>
        <v>0</v>
      </c>
      <c r="S20" s="12">
        <f t="shared" si="4"/>
        <v>-2012.7999999999997</v>
      </c>
      <c r="T20" s="12"/>
      <c r="U20" s="68"/>
      <c r="V20" s="67"/>
      <c r="W20" s="69"/>
    </row>
    <row r="21" spans="3:23" x14ac:dyDescent="0.25">
      <c r="C21" s="65"/>
      <c r="E21" s="12"/>
      <c r="F21" s="12">
        <f t="shared" si="9"/>
        <v>0</v>
      </c>
      <c r="G21" s="12">
        <f t="shared" si="0"/>
        <v>-2100.9</v>
      </c>
      <c r="H21" s="67"/>
      <c r="I21" s="67">
        <f t="shared" si="5"/>
        <v>0</v>
      </c>
      <c r="J21" s="12">
        <f t="shared" si="1"/>
        <v>-663.19999999999993</v>
      </c>
      <c r="K21" s="68"/>
      <c r="L21" s="68">
        <f t="shared" si="6"/>
        <v>0</v>
      </c>
      <c r="M21" s="12">
        <f t="shared" si="2"/>
        <v>-732.49999999999989</v>
      </c>
      <c r="N21" s="67"/>
      <c r="O21" s="67">
        <f t="shared" si="7"/>
        <v>0</v>
      </c>
      <c r="P21" s="12">
        <f t="shared" si="3"/>
        <v>-1285.1999999999998</v>
      </c>
      <c r="Q21" s="69"/>
      <c r="R21" s="69">
        <f t="shared" si="8"/>
        <v>0</v>
      </c>
      <c r="S21" s="12">
        <f t="shared" si="4"/>
        <v>-2012.7999999999997</v>
      </c>
      <c r="T21" s="12"/>
      <c r="U21" s="68"/>
      <c r="V21" s="67"/>
      <c r="W21" s="69"/>
    </row>
    <row r="22" spans="3:23" x14ac:dyDescent="0.25">
      <c r="E22" s="12"/>
      <c r="F22" s="12">
        <f t="shared" si="9"/>
        <v>0</v>
      </c>
      <c r="G22" s="12">
        <f t="shared" si="0"/>
        <v>-2100.9</v>
      </c>
      <c r="H22" s="67"/>
      <c r="I22" s="67">
        <f t="shared" si="5"/>
        <v>0</v>
      </c>
      <c r="J22" s="12">
        <f t="shared" si="1"/>
        <v>-663.19999999999993</v>
      </c>
      <c r="K22" s="68"/>
      <c r="L22" s="68">
        <f t="shared" si="6"/>
        <v>0</v>
      </c>
      <c r="M22" s="12">
        <f t="shared" si="2"/>
        <v>-732.49999999999989</v>
      </c>
      <c r="N22" s="67"/>
      <c r="O22" s="67">
        <f t="shared" si="7"/>
        <v>0</v>
      </c>
      <c r="P22" s="12">
        <f t="shared" si="3"/>
        <v>-1285.1999999999998</v>
      </c>
      <c r="Q22" s="69"/>
      <c r="R22" s="69">
        <f t="shared" si="8"/>
        <v>0</v>
      </c>
      <c r="S22" s="12">
        <f t="shared" si="4"/>
        <v>-2012.7999999999997</v>
      </c>
      <c r="T22" s="12"/>
      <c r="U22" s="68"/>
      <c r="V22" s="67"/>
      <c r="W22" s="69"/>
    </row>
    <row r="23" spans="3:23" x14ac:dyDescent="0.25">
      <c r="E23" s="12"/>
      <c r="F23" s="12">
        <f t="shared" si="9"/>
        <v>0</v>
      </c>
      <c r="G23" s="12">
        <f t="shared" si="0"/>
        <v>-2100.9</v>
      </c>
      <c r="H23" s="67"/>
      <c r="I23" s="67">
        <f t="shared" si="5"/>
        <v>0</v>
      </c>
      <c r="J23" s="12">
        <f t="shared" si="1"/>
        <v>-663.19999999999993</v>
      </c>
      <c r="K23" s="68"/>
      <c r="L23" s="68">
        <f t="shared" si="6"/>
        <v>0</v>
      </c>
      <c r="M23" s="12">
        <f t="shared" si="2"/>
        <v>-732.49999999999989</v>
      </c>
      <c r="N23" s="67"/>
      <c r="O23" s="67">
        <f t="shared" si="7"/>
        <v>0</v>
      </c>
      <c r="P23" s="12">
        <f t="shared" si="3"/>
        <v>-1285.1999999999998</v>
      </c>
      <c r="Q23" s="69"/>
      <c r="R23" s="69">
        <f t="shared" si="8"/>
        <v>0</v>
      </c>
      <c r="S23" s="12">
        <f t="shared" si="4"/>
        <v>-2012.7999999999997</v>
      </c>
      <c r="T23" s="12"/>
      <c r="U23" s="68"/>
      <c r="V23" s="67"/>
      <c r="W23" s="69"/>
    </row>
    <row r="24" spans="3:23" x14ac:dyDescent="0.25">
      <c r="E24" s="12"/>
      <c r="F24" s="12">
        <f t="shared" si="9"/>
        <v>0</v>
      </c>
      <c r="G24" s="12">
        <f t="shared" si="0"/>
        <v>-2100.9</v>
      </c>
      <c r="H24" s="67"/>
      <c r="I24" s="67">
        <f t="shared" si="5"/>
        <v>0</v>
      </c>
      <c r="J24" s="12">
        <f t="shared" si="1"/>
        <v>-663.19999999999993</v>
      </c>
      <c r="K24" s="68"/>
      <c r="L24" s="68">
        <f t="shared" si="6"/>
        <v>0</v>
      </c>
      <c r="M24" s="12">
        <f t="shared" si="2"/>
        <v>-732.49999999999989</v>
      </c>
      <c r="N24" s="67"/>
      <c r="O24" s="67">
        <f t="shared" si="7"/>
        <v>0</v>
      </c>
      <c r="P24" s="12">
        <f t="shared" si="3"/>
        <v>-1285.1999999999998</v>
      </c>
      <c r="Q24" s="69"/>
      <c r="R24" s="69">
        <f t="shared" si="8"/>
        <v>0</v>
      </c>
      <c r="S24" s="12">
        <f t="shared" si="4"/>
        <v>-2012.7999999999997</v>
      </c>
      <c r="T24" s="12"/>
      <c r="U24" s="68"/>
      <c r="V24" s="67"/>
      <c r="W24" s="69"/>
    </row>
    <row r="25" spans="3:23" x14ac:dyDescent="0.25">
      <c r="E25" s="12"/>
      <c r="F25" s="12">
        <f t="shared" si="9"/>
        <v>0</v>
      </c>
      <c r="G25" s="12">
        <f t="shared" si="0"/>
        <v>-2100.9</v>
      </c>
      <c r="H25" s="67"/>
      <c r="I25" s="67">
        <f t="shared" si="5"/>
        <v>0</v>
      </c>
      <c r="J25" s="12">
        <f t="shared" si="1"/>
        <v>-663.19999999999993</v>
      </c>
      <c r="K25" s="68"/>
      <c r="L25" s="68">
        <f t="shared" si="6"/>
        <v>0</v>
      </c>
      <c r="M25" s="12">
        <f t="shared" si="2"/>
        <v>-732.49999999999989</v>
      </c>
      <c r="N25" s="67"/>
      <c r="O25" s="67">
        <f t="shared" si="7"/>
        <v>0</v>
      </c>
      <c r="P25" s="12">
        <f t="shared" si="3"/>
        <v>-1285.1999999999998</v>
      </c>
      <c r="Q25" s="69"/>
      <c r="R25" s="69">
        <f t="shared" si="8"/>
        <v>0</v>
      </c>
      <c r="S25" s="12">
        <f t="shared" si="4"/>
        <v>-2012.7999999999997</v>
      </c>
      <c r="T25" s="12"/>
      <c r="U25" s="68"/>
      <c r="V25" s="67"/>
      <c r="W25" s="69"/>
    </row>
    <row r="26" spans="3:23" x14ac:dyDescent="0.25">
      <c r="E26" s="12"/>
      <c r="F26" s="12">
        <f t="shared" si="9"/>
        <v>0</v>
      </c>
      <c r="G26" s="12">
        <f t="shared" si="0"/>
        <v>-2100.9</v>
      </c>
      <c r="H26" s="67"/>
      <c r="I26" s="67">
        <f t="shared" si="5"/>
        <v>0</v>
      </c>
      <c r="J26" s="12">
        <f t="shared" si="1"/>
        <v>-663.19999999999993</v>
      </c>
      <c r="K26" s="68"/>
      <c r="L26" s="68">
        <f t="shared" si="6"/>
        <v>0</v>
      </c>
      <c r="M26" s="12">
        <f t="shared" si="2"/>
        <v>-732.49999999999989</v>
      </c>
      <c r="N26" s="67"/>
      <c r="O26" s="67">
        <f t="shared" si="7"/>
        <v>0</v>
      </c>
      <c r="P26" s="12">
        <f t="shared" si="3"/>
        <v>-1285.1999999999998</v>
      </c>
      <c r="Q26" s="69"/>
      <c r="R26" s="69">
        <f t="shared" si="8"/>
        <v>0</v>
      </c>
      <c r="S26" s="12">
        <f t="shared" si="4"/>
        <v>-2012.7999999999997</v>
      </c>
      <c r="T26" s="12"/>
      <c r="U26" s="68"/>
      <c r="V26" s="67"/>
      <c r="W26" s="69"/>
    </row>
    <row r="27" spans="3:23" x14ac:dyDescent="0.25">
      <c r="E27" s="12"/>
      <c r="F27" s="12">
        <f t="shared" si="9"/>
        <v>0</v>
      </c>
      <c r="G27" s="12">
        <f t="shared" si="0"/>
        <v>-2100.9</v>
      </c>
      <c r="H27" s="67"/>
      <c r="I27" s="67">
        <f t="shared" si="5"/>
        <v>0</v>
      </c>
      <c r="J27" s="12">
        <f t="shared" si="1"/>
        <v>-663.19999999999993</v>
      </c>
      <c r="K27" s="68"/>
      <c r="L27" s="68">
        <f t="shared" si="6"/>
        <v>0</v>
      </c>
      <c r="M27" s="12">
        <f t="shared" si="2"/>
        <v>-732.49999999999989</v>
      </c>
      <c r="N27" s="67"/>
      <c r="O27" s="67">
        <f t="shared" si="7"/>
        <v>0</v>
      </c>
      <c r="P27" s="12">
        <f t="shared" si="3"/>
        <v>-1285.1999999999998</v>
      </c>
      <c r="Q27" s="69"/>
      <c r="R27" s="69">
        <f t="shared" si="8"/>
        <v>0</v>
      </c>
      <c r="S27" s="12">
        <f t="shared" si="4"/>
        <v>-2012.7999999999997</v>
      </c>
      <c r="T27" s="12"/>
      <c r="U27" s="68"/>
      <c r="V27" s="67"/>
      <c r="W27" s="69"/>
    </row>
    <row r="28" spans="3:23" x14ac:dyDescent="0.25">
      <c r="E28" s="12"/>
      <c r="F28" s="12">
        <f t="shared" si="9"/>
        <v>0</v>
      </c>
      <c r="G28" s="12">
        <f t="shared" si="0"/>
        <v>-2100.9</v>
      </c>
      <c r="H28" s="67"/>
      <c r="I28" s="67">
        <f t="shared" si="5"/>
        <v>0</v>
      </c>
      <c r="J28" s="12">
        <f t="shared" si="1"/>
        <v>-663.19999999999993</v>
      </c>
      <c r="K28" s="68"/>
      <c r="L28" s="68">
        <f t="shared" si="6"/>
        <v>0</v>
      </c>
      <c r="M28" s="12">
        <f t="shared" si="2"/>
        <v>-732.49999999999989</v>
      </c>
      <c r="N28" s="67"/>
      <c r="O28" s="67">
        <f t="shared" si="7"/>
        <v>0</v>
      </c>
      <c r="P28" s="12">
        <f t="shared" si="3"/>
        <v>-1285.1999999999998</v>
      </c>
      <c r="Q28" s="69"/>
      <c r="R28" s="69">
        <f t="shared" si="8"/>
        <v>0</v>
      </c>
      <c r="S28" s="12">
        <f t="shared" si="4"/>
        <v>-2012.7999999999997</v>
      </c>
      <c r="T28" s="12"/>
      <c r="U28" s="68"/>
      <c r="V28" s="67"/>
      <c r="W28" s="69"/>
    </row>
    <row r="29" spans="3:23" x14ac:dyDescent="0.25">
      <c r="E29" s="12"/>
      <c r="F29" s="12">
        <f t="shared" si="9"/>
        <v>0</v>
      </c>
      <c r="G29" s="12">
        <f t="shared" si="0"/>
        <v>-2100.9</v>
      </c>
      <c r="H29" s="67"/>
      <c r="I29" s="67">
        <f t="shared" si="5"/>
        <v>0</v>
      </c>
      <c r="J29" s="12">
        <f t="shared" si="1"/>
        <v>-663.19999999999993</v>
      </c>
      <c r="K29" s="68"/>
      <c r="L29" s="68">
        <f t="shared" si="6"/>
        <v>0</v>
      </c>
      <c r="M29" s="12">
        <f t="shared" si="2"/>
        <v>-732.49999999999989</v>
      </c>
      <c r="N29" s="67"/>
      <c r="O29" s="67">
        <f t="shared" si="7"/>
        <v>0</v>
      </c>
      <c r="P29" s="12">
        <f t="shared" si="3"/>
        <v>-1285.1999999999998</v>
      </c>
      <c r="Q29" s="69"/>
      <c r="R29" s="69">
        <f t="shared" si="8"/>
        <v>0</v>
      </c>
      <c r="S29" s="12">
        <f t="shared" si="4"/>
        <v>-2012.7999999999997</v>
      </c>
      <c r="T29" s="12"/>
      <c r="U29" s="68"/>
      <c r="V29" s="67"/>
      <c r="W29" s="69"/>
    </row>
    <row r="30" spans="3:23" x14ac:dyDescent="0.25">
      <c r="E30" s="12"/>
      <c r="F30" s="12">
        <f t="shared" si="9"/>
        <v>0</v>
      </c>
      <c r="G30" s="12">
        <f t="shared" si="0"/>
        <v>-2100.9</v>
      </c>
      <c r="H30" s="67"/>
      <c r="I30" s="67">
        <f t="shared" si="5"/>
        <v>0</v>
      </c>
      <c r="J30" s="12">
        <f t="shared" si="1"/>
        <v>-663.19999999999993</v>
      </c>
      <c r="K30" s="68"/>
      <c r="L30" s="68">
        <f t="shared" si="6"/>
        <v>0</v>
      </c>
      <c r="M30" s="12">
        <f t="shared" si="2"/>
        <v>-732.49999999999989</v>
      </c>
      <c r="N30" s="67"/>
      <c r="O30" s="67">
        <f t="shared" si="7"/>
        <v>0</v>
      </c>
      <c r="P30" s="12">
        <f t="shared" si="3"/>
        <v>-1285.1999999999998</v>
      </c>
      <c r="Q30" s="69"/>
      <c r="R30" s="69">
        <f t="shared" si="8"/>
        <v>0</v>
      </c>
      <c r="S30" s="12">
        <f t="shared" si="4"/>
        <v>-2012.7999999999997</v>
      </c>
      <c r="T30" s="12"/>
      <c r="V30" s="67"/>
      <c r="W30" s="69"/>
    </row>
    <row r="31" spans="3:23" x14ac:dyDescent="0.25">
      <c r="E31" s="12"/>
      <c r="F31" s="12">
        <f t="shared" si="9"/>
        <v>0</v>
      </c>
      <c r="G31" s="12">
        <f t="shared" si="0"/>
        <v>-2100.9</v>
      </c>
      <c r="H31" s="67"/>
      <c r="I31" s="67">
        <f t="shared" si="5"/>
        <v>0</v>
      </c>
      <c r="J31" s="12">
        <f t="shared" si="1"/>
        <v>-663.19999999999993</v>
      </c>
      <c r="K31" s="68"/>
      <c r="L31" s="68">
        <f t="shared" si="6"/>
        <v>0</v>
      </c>
      <c r="M31" s="12">
        <f t="shared" si="2"/>
        <v>-732.49999999999989</v>
      </c>
      <c r="N31" s="67"/>
      <c r="O31" s="67">
        <f t="shared" si="7"/>
        <v>0</v>
      </c>
      <c r="P31" s="12">
        <f t="shared" si="3"/>
        <v>-1285.1999999999998</v>
      </c>
      <c r="Q31" s="69"/>
      <c r="R31" s="69">
        <f t="shared" si="8"/>
        <v>0</v>
      </c>
      <c r="S31" s="12">
        <f t="shared" si="4"/>
        <v>-2012.7999999999997</v>
      </c>
      <c r="T31" s="12"/>
      <c r="V31" s="67"/>
      <c r="W31" s="69"/>
    </row>
    <row r="32" spans="3:23" x14ac:dyDescent="0.25">
      <c r="E32" s="12"/>
      <c r="F32" s="12">
        <f t="shared" si="9"/>
        <v>0</v>
      </c>
      <c r="G32" s="12">
        <f t="shared" si="0"/>
        <v>-2100.9</v>
      </c>
      <c r="H32" s="67"/>
      <c r="I32" s="67">
        <f t="shared" si="5"/>
        <v>0</v>
      </c>
      <c r="J32" s="12">
        <f t="shared" si="1"/>
        <v>-663.19999999999993</v>
      </c>
      <c r="K32" s="68"/>
      <c r="L32" s="68">
        <f t="shared" si="6"/>
        <v>0</v>
      </c>
      <c r="M32" s="12">
        <f t="shared" si="2"/>
        <v>-732.49999999999989</v>
      </c>
      <c r="N32" s="67"/>
      <c r="O32" s="67">
        <f t="shared" si="7"/>
        <v>0</v>
      </c>
      <c r="P32" s="12">
        <f t="shared" si="3"/>
        <v>-1285.1999999999998</v>
      </c>
      <c r="Q32" s="69"/>
      <c r="R32" s="69">
        <f t="shared" si="8"/>
        <v>0</v>
      </c>
      <c r="S32" s="12">
        <f t="shared" si="4"/>
        <v>-2012.7999999999997</v>
      </c>
      <c r="T32" s="12"/>
      <c r="V32" s="67"/>
      <c r="W32" s="69"/>
    </row>
    <row r="33" spans="5:23" x14ac:dyDescent="0.25">
      <c r="E33" s="12"/>
      <c r="F33" s="12">
        <f t="shared" si="9"/>
        <v>0</v>
      </c>
      <c r="G33" s="12">
        <f t="shared" si="0"/>
        <v>-2100.9</v>
      </c>
      <c r="H33" s="67"/>
      <c r="I33" s="67">
        <f t="shared" si="5"/>
        <v>0</v>
      </c>
      <c r="J33" s="12">
        <f t="shared" si="1"/>
        <v>-663.19999999999993</v>
      </c>
      <c r="K33" s="68"/>
      <c r="L33" s="68">
        <f t="shared" si="6"/>
        <v>0</v>
      </c>
      <c r="M33" s="12">
        <f t="shared" si="2"/>
        <v>-732.49999999999989</v>
      </c>
      <c r="N33" s="67"/>
      <c r="O33" s="67">
        <f t="shared" si="7"/>
        <v>0</v>
      </c>
      <c r="P33" s="12">
        <f t="shared" si="3"/>
        <v>-1285.1999999999998</v>
      </c>
      <c r="Q33" s="69"/>
      <c r="R33" s="69">
        <f t="shared" si="8"/>
        <v>0</v>
      </c>
      <c r="S33" s="12">
        <f t="shared" si="4"/>
        <v>-2012.7999999999997</v>
      </c>
      <c r="T33" s="12"/>
      <c r="W33" s="69"/>
    </row>
    <row r="34" spans="5:23" x14ac:dyDescent="0.25">
      <c r="E34" s="12"/>
      <c r="F34" s="12">
        <f t="shared" si="9"/>
        <v>0</v>
      </c>
      <c r="G34" s="12">
        <f t="shared" si="0"/>
        <v>-2100.9</v>
      </c>
      <c r="H34" s="67"/>
      <c r="I34" s="67">
        <f t="shared" si="5"/>
        <v>0</v>
      </c>
      <c r="J34" s="12">
        <f t="shared" si="1"/>
        <v>-663.19999999999993</v>
      </c>
      <c r="K34" s="68"/>
      <c r="L34" s="68">
        <f t="shared" si="6"/>
        <v>0</v>
      </c>
      <c r="M34" s="12">
        <f t="shared" si="2"/>
        <v>-732.49999999999989</v>
      </c>
      <c r="N34" s="67"/>
      <c r="O34" s="67">
        <f t="shared" si="7"/>
        <v>0</v>
      </c>
      <c r="P34" s="12">
        <f t="shared" si="3"/>
        <v>-1285.1999999999998</v>
      </c>
      <c r="Q34" s="69"/>
      <c r="R34" s="69">
        <f t="shared" si="8"/>
        <v>0</v>
      </c>
      <c r="S34" s="12">
        <f t="shared" si="4"/>
        <v>-2012.7999999999997</v>
      </c>
      <c r="T34" s="12"/>
      <c r="W34" s="69"/>
    </row>
    <row r="35" spans="5:23" x14ac:dyDescent="0.25">
      <c r="E35" s="12"/>
      <c r="F35" s="12"/>
      <c r="G35" s="12"/>
      <c r="H35" s="67"/>
      <c r="I35" s="67"/>
      <c r="J35" s="67"/>
      <c r="K35" s="68"/>
      <c r="L35" s="68"/>
      <c r="M35" s="68"/>
      <c r="N35" s="67"/>
      <c r="O35" s="67"/>
      <c r="P35" s="67"/>
      <c r="Q35" s="69"/>
      <c r="R35" s="69"/>
    </row>
    <row r="36" spans="5:23" x14ac:dyDescent="0.25">
      <c r="E36" s="12"/>
      <c r="F36" s="12"/>
      <c r="G36" s="12"/>
      <c r="H36" s="67"/>
      <c r="I36" s="67"/>
      <c r="J36" s="67"/>
      <c r="K36" s="68"/>
      <c r="L36" s="68"/>
      <c r="M36" s="68"/>
      <c r="N36" s="67"/>
      <c r="O36" s="67"/>
      <c r="P36" s="67"/>
      <c r="Q36" s="69"/>
      <c r="R36" s="69"/>
    </row>
    <row r="37" spans="5:23" x14ac:dyDescent="0.25">
      <c r="Q37" s="6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9F569-7670-474E-986B-EC5AB3F00F94}">
  <sheetPr codeName="Sheet4"/>
  <dimension ref="A1"/>
  <sheetViews>
    <sheetView workbookViewId="0">
      <selection activeCell="N25" sqref="N2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ED5A9-A3C2-41A6-9918-03F08AF1C90C}">
  <sheetPr codeName="Sheet5"/>
  <dimension ref="B2:Q34"/>
  <sheetViews>
    <sheetView workbookViewId="0">
      <selection activeCell="F19" sqref="F19"/>
    </sheetView>
  </sheetViews>
  <sheetFormatPr defaultRowHeight="15" x14ac:dyDescent="0.25"/>
  <cols>
    <col min="1" max="1" width="2" customWidth="1"/>
    <col min="2" max="2" width="5.140625" bestFit="1" customWidth="1"/>
    <col min="3" max="3" width="96.7109375" bestFit="1" customWidth="1"/>
    <col min="4" max="4" width="37" bestFit="1" customWidth="1"/>
  </cols>
  <sheetData>
    <row r="2" spans="2:17" x14ac:dyDescent="0.25">
      <c r="B2" s="27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2:17" x14ac:dyDescent="0.25">
      <c r="B3" s="188" t="s">
        <v>122</v>
      </c>
      <c r="C3" s="188"/>
      <c r="D3" t="s">
        <v>39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2:17" x14ac:dyDescent="0.25">
      <c r="B4" s="27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2:17" x14ac:dyDescent="0.25">
      <c r="B5" s="27" t="s">
        <v>40</v>
      </c>
      <c r="C5" t="s">
        <v>41</v>
      </c>
      <c r="D5" t="s">
        <v>42</v>
      </c>
      <c r="E5" s="54"/>
      <c r="F5" s="54"/>
      <c r="G5" s="55"/>
      <c r="H5" s="55"/>
      <c r="I5" s="54"/>
      <c r="J5" s="54"/>
      <c r="K5" s="54"/>
      <c r="L5" s="54"/>
      <c r="M5" s="54"/>
      <c r="N5" s="54"/>
      <c r="O5" s="54"/>
      <c r="P5" s="54"/>
    </row>
    <row r="6" spans="2:17" x14ac:dyDescent="0.25">
      <c r="B6" s="27" t="s">
        <v>43</v>
      </c>
      <c r="C6" t="s">
        <v>44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21"/>
    </row>
    <row r="7" spans="2:17" x14ac:dyDescent="0.25">
      <c r="B7" s="27"/>
      <c r="E7" s="57"/>
      <c r="F7" s="57"/>
      <c r="G7" s="57"/>
      <c r="H7" s="57"/>
      <c r="I7" s="54"/>
      <c r="J7" s="54"/>
      <c r="K7" s="54"/>
      <c r="L7" s="54"/>
      <c r="M7" s="54"/>
      <c r="N7" s="54"/>
      <c r="O7" s="54"/>
      <c r="P7" s="54"/>
    </row>
    <row r="8" spans="2:17" x14ac:dyDescent="0.25">
      <c r="B8" s="27" t="s">
        <v>45</v>
      </c>
      <c r="C8" t="s">
        <v>46</v>
      </c>
      <c r="D8" t="s">
        <v>47</v>
      </c>
      <c r="E8" s="54"/>
      <c r="F8" s="54"/>
      <c r="G8" s="54"/>
      <c r="H8" s="54"/>
      <c r="I8" s="58"/>
      <c r="J8" s="54"/>
      <c r="K8" s="58"/>
      <c r="L8" s="54"/>
      <c r="M8" s="58"/>
      <c r="N8" s="54"/>
      <c r="O8" s="58"/>
      <c r="P8" s="54"/>
      <c r="Q8" s="21"/>
    </row>
    <row r="9" spans="2:17" x14ac:dyDescent="0.25">
      <c r="B9" s="27" t="s">
        <v>48</v>
      </c>
      <c r="C9" s="2" t="s">
        <v>49</v>
      </c>
      <c r="D9" t="s">
        <v>50</v>
      </c>
      <c r="E9" s="59"/>
      <c r="F9" s="59"/>
      <c r="G9" s="59"/>
      <c r="H9" s="59"/>
      <c r="I9" s="59"/>
      <c r="J9" s="59"/>
      <c r="K9" s="59"/>
      <c r="L9" s="59"/>
      <c r="M9" s="60"/>
      <c r="N9" s="59"/>
      <c r="O9" s="60"/>
      <c r="P9" s="59"/>
      <c r="Q9" s="2"/>
    </row>
    <row r="10" spans="2:17" x14ac:dyDescent="0.25">
      <c r="B10" s="27" t="s">
        <v>51</v>
      </c>
      <c r="C10" s="28" t="s">
        <v>52</v>
      </c>
      <c r="D10" t="s">
        <v>53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28"/>
    </row>
    <row r="11" spans="2:17" x14ac:dyDescent="0.25">
      <c r="B11" s="27" t="s">
        <v>54</v>
      </c>
      <c r="C11" s="2" t="s">
        <v>55</v>
      </c>
      <c r="D11" t="s">
        <v>56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2"/>
    </row>
    <row r="12" spans="2:17" x14ac:dyDescent="0.25">
      <c r="B12" s="27" t="s">
        <v>57</v>
      </c>
      <c r="C12" s="1" t="s">
        <v>58</v>
      </c>
      <c r="D12" t="s">
        <v>59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1"/>
    </row>
    <row r="13" spans="2:17" x14ac:dyDescent="0.25">
      <c r="B13" s="27" t="s">
        <v>60</v>
      </c>
      <c r="C13" s="29" t="s">
        <v>61</v>
      </c>
      <c r="D13" s="29" t="s">
        <v>62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</row>
    <row r="14" spans="2:17" x14ac:dyDescent="0.25">
      <c r="B14" s="27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 spans="2:17" x14ac:dyDescent="0.25">
      <c r="B15" s="27" t="s">
        <v>63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2:17" x14ac:dyDescent="0.25">
      <c r="B16" s="27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2:17" x14ac:dyDescent="0.25">
      <c r="B17" s="27" t="s">
        <v>64</v>
      </c>
      <c r="C17" s="28" t="s">
        <v>65</v>
      </c>
      <c r="D17" t="s">
        <v>66</v>
      </c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28"/>
    </row>
    <row r="18" spans="2:17" x14ac:dyDescent="0.25">
      <c r="B18" s="27" t="s">
        <v>67</v>
      </c>
      <c r="C18" s="2" t="s">
        <v>68</v>
      </c>
      <c r="D18" t="s">
        <v>69</v>
      </c>
      <c r="E18" s="54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2"/>
    </row>
    <row r="19" spans="2:17" x14ac:dyDescent="0.25">
      <c r="B19" s="27" t="s">
        <v>70</v>
      </c>
      <c r="C19" s="1" t="s">
        <v>71</v>
      </c>
      <c r="D19" t="s">
        <v>72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1"/>
    </row>
    <row r="20" spans="2:17" x14ac:dyDescent="0.25">
      <c r="B20" s="27" t="s">
        <v>73</v>
      </c>
      <c r="C20" s="2" t="s">
        <v>74</v>
      </c>
      <c r="D20" t="s">
        <v>75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2:17" x14ac:dyDescent="0.25">
      <c r="B21" s="27" t="s">
        <v>76</v>
      </c>
      <c r="C21" s="29" t="s">
        <v>77</v>
      </c>
      <c r="D21" s="29" t="s">
        <v>78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</row>
    <row r="22" spans="2:17" x14ac:dyDescent="0.25">
      <c r="B22" s="27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</row>
    <row r="23" spans="2:17" x14ac:dyDescent="0.25">
      <c r="B23" s="27" t="s">
        <v>79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</row>
    <row r="24" spans="2:17" x14ac:dyDescent="0.25">
      <c r="B24" s="27" t="s">
        <v>80</v>
      </c>
      <c r="C24" t="s">
        <v>81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</row>
    <row r="25" spans="2:17" x14ac:dyDescent="0.25">
      <c r="B25" s="27" t="s">
        <v>82</v>
      </c>
      <c r="C25" s="28" t="s">
        <v>83</v>
      </c>
      <c r="D25" t="s">
        <v>84</v>
      </c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28"/>
    </row>
    <row r="26" spans="2:17" x14ac:dyDescent="0.25">
      <c r="B26" s="27" t="s">
        <v>85</v>
      </c>
      <c r="C26" s="1" t="s">
        <v>86</v>
      </c>
      <c r="D26" t="s">
        <v>87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1"/>
    </row>
    <row r="27" spans="2:17" x14ac:dyDescent="0.25">
      <c r="B27" s="30" t="s">
        <v>88</v>
      </c>
      <c r="C27" s="29" t="s">
        <v>89</v>
      </c>
      <c r="D27" s="29" t="s">
        <v>90</v>
      </c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</row>
    <row r="28" spans="2:17" x14ac:dyDescent="0.25">
      <c r="B28" s="30" t="s">
        <v>91</v>
      </c>
      <c r="C28" s="29" t="s">
        <v>92</v>
      </c>
      <c r="D28" s="29" t="s">
        <v>93</v>
      </c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</row>
    <row r="29" spans="2:17" x14ac:dyDescent="0.25">
      <c r="B29" s="30" t="s">
        <v>94</v>
      </c>
      <c r="C29" s="29" t="s">
        <v>95</v>
      </c>
      <c r="D29" s="29" t="s">
        <v>96</v>
      </c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</row>
    <row r="30" spans="2:17" x14ac:dyDescent="0.25">
      <c r="B30" s="27"/>
      <c r="E30" s="54"/>
      <c r="F30" s="54"/>
      <c r="G30" s="54"/>
      <c r="H30" s="54"/>
      <c r="I30" s="54"/>
      <c r="J30" s="54"/>
      <c r="K30" s="61"/>
      <c r="L30" s="54"/>
      <c r="M30" s="54"/>
      <c r="N30" s="54"/>
      <c r="O30" s="54"/>
      <c r="P30" s="54"/>
    </row>
    <row r="31" spans="2:17" x14ac:dyDescent="0.25">
      <c r="B31" s="27"/>
      <c r="E31" s="54"/>
      <c r="F31" s="54"/>
      <c r="G31" s="54"/>
      <c r="H31" s="54"/>
      <c r="I31" s="54"/>
      <c r="J31" s="54"/>
      <c r="K31" s="59"/>
      <c r="L31" s="54"/>
      <c r="M31" s="54"/>
      <c r="N31" s="54"/>
      <c r="O31" s="54"/>
      <c r="P31" s="54"/>
    </row>
    <row r="32" spans="2:17" x14ac:dyDescent="0.25">
      <c r="B32" s="27"/>
      <c r="E32" s="54"/>
      <c r="F32" s="54"/>
      <c r="G32" s="54"/>
      <c r="H32" s="54"/>
      <c r="I32" s="54"/>
      <c r="J32" s="54"/>
      <c r="K32" s="62"/>
      <c r="L32" s="54"/>
      <c r="M32" s="54"/>
      <c r="N32" s="54"/>
      <c r="O32" s="54"/>
      <c r="P32" s="54"/>
    </row>
    <row r="33" spans="2:2" x14ac:dyDescent="0.25">
      <c r="B33" s="27"/>
    </row>
    <row r="34" spans="2:2" x14ac:dyDescent="0.25">
      <c r="B34" s="27"/>
    </row>
  </sheetData>
  <mergeCells count="1">
    <mergeCell ref="B3:C3"/>
  </mergeCells>
  <pageMargins left="0.7" right="0.7" top="0.75" bottom="0.75" header="0.3" footer="0.3"/>
  <ignoredErrors>
    <ignoredError sqref="B5:B2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60367-F205-493A-99FE-E4BC60E5088F}">
  <sheetPr codeName="Sheet6">
    <pageSetUpPr autoPageBreaks="0"/>
  </sheetPr>
  <dimension ref="B2:H13"/>
  <sheetViews>
    <sheetView workbookViewId="0">
      <selection activeCell="E22" sqref="E22"/>
    </sheetView>
  </sheetViews>
  <sheetFormatPr defaultRowHeight="15" x14ac:dyDescent="0.25"/>
  <cols>
    <col min="2" max="2" width="14.42578125" customWidth="1"/>
    <col min="6" max="6" width="10.42578125" customWidth="1"/>
  </cols>
  <sheetData>
    <row r="2" spans="2:8" x14ac:dyDescent="0.25">
      <c r="B2" s="3" t="s">
        <v>11</v>
      </c>
      <c r="C2" s="3" t="s">
        <v>6</v>
      </c>
      <c r="D2" s="3" t="s">
        <v>12</v>
      </c>
      <c r="E2" s="3" t="s">
        <v>13</v>
      </c>
      <c r="F2" s="3" t="s">
        <v>14</v>
      </c>
      <c r="G2" s="3" t="s">
        <v>7</v>
      </c>
      <c r="H2" s="3" t="s">
        <v>9</v>
      </c>
    </row>
    <row r="3" spans="2:8" x14ac:dyDescent="0.25">
      <c r="B3" s="4">
        <v>41453</v>
      </c>
      <c r="C3" s="3">
        <v>1212</v>
      </c>
      <c r="D3" s="3">
        <v>1251</v>
      </c>
      <c r="E3" s="5">
        <f t="shared" ref="E3:E13" si="0">SUM(C3:D3)</f>
        <v>2463</v>
      </c>
      <c r="F3" s="6">
        <f>E3/3</f>
        <v>821</v>
      </c>
      <c r="G3" s="3">
        <v>916</v>
      </c>
      <c r="H3" s="3">
        <v>92</v>
      </c>
    </row>
    <row r="4" spans="2:8" x14ac:dyDescent="0.25">
      <c r="B4" s="4">
        <v>41549</v>
      </c>
      <c r="C4" s="3">
        <v>1054</v>
      </c>
      <c r="D4" s="3">
        <v>1068</v>
      </c>
      <c r="E4" s="5">
        <f t="shared" si="0"/>
        <v>2122</v>
      </c>
      <c r="F4" s="7">
        <f t="shared" ref="F4:F13" si="1">E4/3</f>
        <v>707.33333333333337</v>
      </c>
      <c r="G4" s="3">
        <v>1363</v>
      </c>
      <c r="H4" s="3">
        <v>96</v>
      </c>
    </row>
    <row r="5" spans="2:8" x14ac:dyDescent="0.25">
      <c r="B5" s="4">
        <v>41646</v>
      </c>
      <c r="C5" s="3">
        <v>1109</v>
      </c>
      <c r="D5" s="3">
        <v>2193</v>
      </c>
      <c r="E5" s="5">
        <f t="shared" si="0"/>
        <v>3302</v>
      </c>
      <c r="F5" s="7">
        <f t="shared" si="1"/>
        <v>1100.6666666666667</v>
      </c>
      <c r="G5" s="3">
        <v>1714</v>
      </c>
      <c r="H5" s="3">
        <v>97</v>
      </c>
    </row>
    <row r="6" spans="2:8" x14ac:dyDescent="0.25">
      <c r="B6" s="4">
        <v>41726</v>
      </c>
      <c r="C6" s="3">
        <v>983</v>
      </c>
      <c r="D6" s="3">
        <v>2041</v>
      </c>
      <c r="E6" s="5">
        <f t="shared" si="0"/>
        <v>3024</v>
      </c>
      <c r="F6" s="7">
        <f t="shared" si="1"/>
        <v>1008</v>
      </c>
      <c r="G6" s="3">
        <v>939</v>
      </c>
      <c r="H6" s="3">
        <v>80</v>
      </c>
    </row>
    <row r="7" spans="2:8" x14ac:dyDescent="0.25">
      <c r="B7" s="4">
        <v>41817</v>
      </c>
      <c r="C7" s="3">
        <v>1155</v>
      </c>
      <c r="D7" s="3">
        <v>1344</v>
      </c>
      <c r="E7" s="5">
        <f t="shared" si="0"/>
        <v>2499</v>
      </c>
      <c r="F7" s="7">
        <f t="shared" si="1"/>
        <v>833</v>
      </c>
      <c r="G7" s="3">
        <v>840</v>
      </c>
      <c r="H7" s="3">
        <v>91</v>
      </c>
    </row>
    <row r="8" spans="2:8" x14ac:dyDescent="0.25">
      <c r="B8" s="4">
        <v>41907</v>
      </c>
      <c r="C8" s="3">
        <v>1034</v>
      </c>
      <c r="D8" s="3">
        <v>1441</v>
      </c>
      <c r="E8" s="5">
        <f t="shared" si="0"/>
        <v>2475</v>
      </c>
      <c r="F8" s="7">
        <f t="shared" si="1"/>
        <v>825</v>
      </c>
      <c r="G8" s="3">
        <v>1537</v>
      </c>
      <c r="H8" s="3">
        <v>90</v>
      </c>
    </row>
    <row r="9" spans="2:8" x14ac:dyDescent="0.25">
      <c r="B9" s="4">
        <v>41997</v>
      </c>
      <c r="C9" s="3">
        <v>1269</v>
      </c>
      <c r="D9" s="3">
        <v>2072</v>
      </c>
      <c r="E9" s="5">
        <f t="shared" si="0"/>
        <v>3341</v>
      </c>
      <c r="F9" s="7">
        <f t="shared" si="1"/>
        <v>1113.6666666666667</v>
      </c>
      <c r="G9" s="3">
        <v>1959</v>
      </c>
      <c r="H9" s="3">
        <v>90</v>
      </c>
    </row>
    <row r="10" spans="2:8" x14ac:dyDescent="0.25">
      <c r="B10" s="4">
        <v>42090</v>
      </c>
      <c r="C10" s="3">
        <v>1486</v>
      </c>
      <c r="D10" s="3">
        <v>3712</v>
      </c>
      <c r="E10" s="5">
        <f t="shared" si="0"/>
        <v>5198</v>
      </c>
      <c r="F10" s="7">
        <f t="shared" si="1"/>
        <v>1732.6666666666667</v>
      </c>
      <c r="G10" s="3">
        <v>1536</v>
      </c>
      <c r="H10" s="3">
        <v>93</v>
      </c>
    </row>
    <row r="11" spans="2:8" x14ac:dyDescent="0.25">
      <c r="B11" s="4">
        <v>42184</v>
      </c>
      <c r="C11" s="3">
        <v>1486</v>
      </c>
      <c r="D11" s="3">
        <v>2286</v>
      </c>
      <c r="E11" s="5">
        <f t="shared" si="0"/>
        <v>3772</v>
      </c>
      <c r="F11" s="7">
        <f t="shared" si="1"/>
        <v>1257.3333333333333</v>
      </c>
      <c r="G11" s="3">
        <v>1190</v>
      </c>
      <c r="H11" s="3">
        <v>94</v>
      </c>
    </row>
    <row r="12" spans="2:8" x14ac:dyDescent="0.25">
      <c r="B12" s="4">
        <v>42277</v>
      </c>
      <c r="C12" s="3">
        <v>1067</v>
      </c>
      <c r="D12" s="3">
        <v>1709</v>
      </c>
      <c r="E12" s="5">
        <f t="shared" si="0"/>
        <v>2776</v>
      </c>
      <c r="F12" s="7">
        <f t="shared" si="1"/>
        <v>925.33333333333337</v>
      </c>
      <c r="G12" s="3">
        <v>1546</v>
      </c>
      <c r="H12" s="3">
        <v>93</v>
      </c>
    </row>
    <row r="13" spans="2:8" x14ac:dyDescent="0.25">
      <c r="B13" s="4">
        <v>42369</v>
      </c>
      <c r="C13" s="3">
        <v>961</v>
      </c>
      <c r="D13" s="3">
        <v>2086</v>
      </c>
      <c r="E13" s="5">
        <f t="shared" si="0"/>
        <v>3047</v>
      </c>
      <c r="F13" s="7">
        <f t="shared" si="1"/>
        <v>1015.6666666666666</v>
      </c>
      <c r="G13" s="3">
        <v>1988</v>
      </c>
      <c r="H13" s="3">
        <v>92</v>
      </c>
    </row>
  </sheetData>
  <pageMargins left="0.75" right="0.75" top="1" bottom="1" header="0.3" footer="0.3"/>
  <pageSetup paperSize="9" orientation="portrait" verticalDpi="0"/>
  <ignoredErrors>
    <ignoredError sqref="E3:E13" formulaRange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4EE6F00595614DAB7B752BB503C019" ma:contentTypeVersion="8" ma:contentTypeDescription="Create a new document." ma:contentTypeScope="" ma:versionID="2a5fb962bbd17a7c02de177073786f0d">
  <xsd:schema xmlns:xsd="http://www.w3.org/2001/XMLSchema" xmlns:xs="http://www.w3.org/2001/XMLSchema" xmlns:p="http://schemas.microsoft.com/office/2006/metadata/properties" xmlns:ns3="ef47823c-7801-4968-a929-c5a3956558e5" targetNamespace="http://schemas.microsoft.com/office/2006/metadata/properties" ma:root="true" ma:fieldsID="eac4adeffd41da50fdd751fff723b558" ns3:_="">
    <xsd:import namespace="ef47823c-7801-4968-a929-c5a3956558e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47823c-7801-4968-a929-c5a3956558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E5896C-87D7-4C16-9BAE-9156E2BEF6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C9FBA-5F67-45E8-A3D7-2532BF8315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47823c-7801-4968-a929-c5a3956558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75B017-F829-4335-9CBE-829A9210C23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Ergon Calculator</vt:lpstr>
      <vt:lpstr>Bill Check</vt:lpstr>
      <vt:lpstr>Usage</vt:lpstr>
      <vt:lpstr>Costs</vt:lpstr>
      <vt:lpstr>Yurika S1325</vt:lpstr>
      <vt:lpstr>Sheet1</vt:lpstr>
      <vt:lpstr>'Ergon Calculator'!Print_Area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parkinson</dc:creator>
  <cp:lastModifiedBy>Peter Parkinson</cp:lastModifiedBy>
  <cp:lastPrinted>2022-03-31T00:06:53Z</cp:lastPrinted>
  <dcterms:created xsi:type="dcterms:W3CDTF">2011-05-21T03:37:37Z</dcterms:created>
  <dcterms:modified xsi:type="dcterms:W3CDTF">2025-04-02T13:22:49Z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96 96 1680 1050</vt:lpwstr>
  </property>
  <property fmtid="{D5CDD505-2E9C-101B-9397-08002B2CF9AE}" pid="3" name="ContentTypeId">
    <vt:lpwstr>0x010100F74EE6F00595614DAB7B752BB503C019</vt:lpwstr>
  </property>
</Properties>
</file>